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6"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ПС'!$A$2:$T$33</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R27" i="13" l="1"/>
  <c r="R26" i="13"/>
  <c r="C26" i="13"/>
  <c r="R25" i="13"/>
  <c r="C25" i="13"/>
  <c r="B21" i="22" l="1"/>
  <c r="AF50" i="15"/>
  <c r="AF45" i="15"/>
  <c r="AF32" i="15"/>
  <c r="V31" i="15"/>
  <c r="D41" i="16"/>
  <c r="D39" i="16"/>
  <c r="D32" i="16"/>
  <c r="C31" i="13"/>
  <c r="C30" i="13"/>
  <c r="R29" i="13"/>
  <c r="C29" i="13"/>
  <c r="R28" i="13"/>
  <c r="C28" i="13"/>
  <c r="B22" i="22" l="1"/>
  <c r="V49" i="15"/>
  <c r="L31" i="15"/>
  <c r="D31" i="16"/>
  <c r="C32" i="16" s="1"/>
  <c r="C27" i="16"/>
  <c r="D26" i="16"/>
  <c r="C33" i="16" l="1"/>
  <c r="D33" i="16" s="1"/>
  <c r="D35" i="16"/>
  <c r="A86" i="26" l="1"/>
  <c r="L80" i="26"/>
  <c r="K80" i="26"/>
  <c r="J80" i="26"/>
  <c r="I80" i="26"/>
  <c r="H80" i="26"/>
  <c r="G80" i="26"/>
  <c r="F80" i="26"/>
  <c r="E80" i="26"/>
  <c r="D80" i="26"/>
  <c r="C80" i="26"/>
  <c r="B80" i="26"/>
  <c r="G76" i="26"/>
  <c r="F76" i="26"/>
  <c r="E76" i="26"/>
  <c r="D76" i="26"/>
  <c r="C71" i="26"/>
  <c r="B71" i="26"/>
  <c r="L62" i="26"/>
  <c r="A56" i="26"/>
  <c r="B53" i="26"/>
  <c r="B49" i="26"/>
  <c r="K53" i="26"/>
  <c r="J53" i="26"/>
  <c r="I53" i="26"/>
  <c r="H53" i="26"/>
  <c r="G53" i="26"/>
  <c r="F53" i="26"/>
  <c r="E53" i="26"/>
  <c r="D53" i="26"/>
  <c r="C53" i="26"/>
  <c r="B44" i="26"/>
  <c r="B43" i="26"/>
  <c r="C43" i="26" s="1"/>
  <c r="B40" i="26"/>
  <c r="B27" i="26"/>
  <c r="B56" i="26" s="1"/>
  <c r="B24" i="26"/>
  <c r="C76" i="26"/>
  <c r="B76" i="26"/>
  <c r="F14" i="26"/>
  <c r="C59" i="26" l="1"/>
  <c r="C58" i="26"/>
  <c r="D43" i="26"/>
  <c r="H57" i="26"/>
  <c r="D57" i="26"/>
  <c r="K57" i="26"/>
  <c r="G57" i="26"/>
  <c r="C57" i="26"/>
  <c r="I55" i="26"/>
  <c r="E55" i="26"/>
  <c r="J57" i="26"/>
  <c r="F57" i="26"/>
  <c r="B57" i="26"/>
  <c r="L55" i="26"/>
  <c r="H55" i="26"/>
  <c r="D55" i="26"/>
  <c r="I57" i="26"/>
  <c r="E57" i="26"/>
  <c r="K55" i="26"/>
  <c r="G55" i="26"/>
  <c r="C55" i="26"/>
  <c r="C54" i="26" s="1"/>
  <c r="C74" i="26" s="1"/>
  <c r="C47" i="26"/>
  <c r="B50" i="26"/>
  <c r="B64" i="26" s="1"/>
  <c r="B72" i="26" s="1"/>
  <c r="B77" i="26"/>
  <c r="G75" i="26"/>
  <c r="D75" i="26"/>
  <c r="H75" i="26"/>
  <c r="F75" i="26"/>
  <c r="B55" i="26"/>
  <c r="J55" i="26"/>
  <c r="B58" i="26"/>
  <c r="B59" i="26"/>
  <c r="K75" i="26"/>
  <c r="B19" i="26"/>
  <c r="B75" i="26" s="1"/>
  <c r="F56" i="26"/>
  <c r="E56" i="26"/>
  <c r="H56" i="26"/>
  <c r="D56" i="26"/>
  <c r="G56" i="26"/>
  <c r="C56" i="26"/>
  <c r="E75" i="26"/>
  <c r="I75" i="26"/>
  <c r="J75" i="26"/>
  <c r="F55" i="26"/>
  <c r="B54" i="26" l="1"/>
  <c r="C61" i="26"/>
  <c r="F62" i="26"/>
  <c r="F71" i="26" s="1"/>
  <c r="D60" i="26"/>
  <c r="E62" i="26"/>
  <c r="E71" i="26" s="1"/>
  <c r="B93" i="26"/>
  <c r="M93" i="26" s="1"/>
  <c r="H62" i="26"/>
  <c r="D62" i="26"/>
  <c r="D71" i="26" s="1"/>
  <c r="G62" i="26"/>
  <c r="G71" i="26" s="1"/>
  <c r="C75" i="26"/>
  <c r="D59" i="26"/>
  <c r="D58" i="26"/>
  <c r="E43" i="26"/>
  <c r="C49" i="26"/>
  <c r="D47" i="26"/>
  <c r="AT32" i="15"/>
  <c r="O32" i="15"/>
  <c r="U32" i="15"/>
  <c r="G31" i="15"/>
  <c r="K32" i="15"/>
  <c r="E60" i="26" l="1"/>
  <c r="D54" i="26"/>
  <c r="D61" i="26"/>
  <c r="D74" i="26"/>
  <c r="E58" i="26"/>
  <c r="E59" i="26"/>
  <c r="F43" i="26"/>
  <c r="F60" i="26"/>
  <c r="B61" i="26"/>
  <c r="B74" i="26"/>
  <c r="J60" i="26"/>
  <c r="H60" i="26"/>
  <c r="H71" i="26"/>
  <c r="I62" i="26"/>
  <c r="C63" i="26"/>
  <c r="C94" i="26"/>
  <c r="D49" i="26"/>
  <c r="E47" i="26"/>
  <c r="C50" i="26"/>
  <c r="C64" i="26" s="1"/>
  <c r="C72" i="26" s="1"/>
  <c r="C77" i="26"/>
  <c r="G60" i="26"/>
  <c r="I60" i="26"/>
  <c r="C41" i="16"/>
  <c r="C47" i="16" l="1"/>
  <c r="D94" i="26"/>
  <c r="D63" i="26"/>
  <c r="E49" i="26"/>
  <c r="F47" i="26"/>
  <c r="I71" i="26"/>
  <c r="J62" i="26"/>
  <c r="C70" i="26"/>
  <c r="C65" i="26"/>
  <c r="D77" i="26"/>
  <c r="D50" i="26"/>
  <c r="D64" i="26" s="1"/>
  <c r="D72" i="26" s="1"/>
  <c r="B94" i="26"/>
  <c r="B63" i="26"/>
  <c r="E54" i="26"/>
  <c r="F58" i="26"/>
  <c r="F59" i="26"/>
  <c r="G43" i="26"/>
  <c r="C37" i="16"/>
  <c r="D37" i="16" s="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G59" i="26"/>
  <c r="G58" i="26"/>
  <c r="H43" i="26"/>
  <c r="B65" i="26"/>
  <c r="B70" i="26"/>
  <c r="C66" i="26"/>
  <c r="C67" i="26" s="1"/>
  <c r="M64" i="26"/>
  <c r="M65" i="26" s="1"/>
  <c r="G47" i="26"/>
  <c r="F49" i="26"/>
  <c r="E77" i="26"/>
  <c r="E50" i="26"/>
  <c r="E64" i="26" s="1"/>
  <c r="E72" i="26" s="1"/>
  <c r="E74" i="26"/>
  <c r="E61" i="26"/>
  <c r="F54" i="26"/>
  <c r="J71" i="26"/>
  <c r="K62" i="26"/>
  <c r="K71" i="26" s="1"/>
  <c r="K60" i="26"/>
  <c r="D65" i="26"/>
  <c r="D70" i="2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D66" i="26"/>
  <c r="D67" i="26" s="1"/>
  <c r="E94" i="26"/>
  <c r="E63" i="26"/>
  <c r="B66" i="26"/>
  <c r="B67" i="26" s="1"/>
  <c r="H59" i="26"/>
  <c r="H58" i="26"/>
  <c r="H54" i="26" s="1"/>
  <c r="I43" i="26"/>
  <c r="F74" i="26"/>
  <c r="F61" i="26"/>
  <c r="G49" i="26"/>
  <c r="H47" i="26"/>
  <c r="F50" i="26"/>
  <c r="F64" i="26" s="1"/>
  <c r="F72" i="26" s="1"/>
  <c r="F77" i="26"/>
  <c r="G54" i="26"/>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F94" i="26" l="1"/>
  <c r="F63" i="26"/>
  <c r="E65" i="26"/>
  <c r="E70" i="26"/>
  <c r="H49" i="26"/>
  <c r="I47" i="26"/>
  <c r="G74" i="26"/>
  <c r="G61" i="26"/>
  <c r="I58" i="26"/>
  <c r="I59" i="26"/>
  <c r="J43" i="26"/>
  <c r="I56" i="26"/>
  <c r="G50" i="26"/>
  <c r="G64" i="26" s="1"/>
  <c r="G72" i="26" s="1"/>
  <c r="G77" i="26"/>
  <c r="H61" i="26"/>
  <c r="H74" i="26"/>
  <c r="B73" i="26"/>
  <c r="B78" i="26" s="1"/>
  <c r="BA64" i="15"/>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F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AL45" i="15"/>
  <c r="AL44" i="15"/>
  <c r="BF44" i="15" s="1"/>
  <c r="AG50" i="15"/>
  <c r="AG49" i="15"/>
  <c r="AG48" i="15"/>
  <c r="AG47" i="15"/>
  <c r="AG46" i="15"/>
  <c r="AG45" i="15"/>
  <c r="AG44" i="15"/>
  <c r="AB50" i="15"/>
  <c r="AB49" i="15"/>
  <c r="AB48" i="15"/>
  <c r="AB47" i="15"/>
  <c r="AB46" i="15"/>
  <c r="AB45" i="15"/>
  <c r="BF45" i="15" s="1"/>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F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AL37" i="15"/>
  <c r="AL36" i="15"/>
  <c r="AG42" i="15"/>
  <c r="AG41" i="15"/>
  <c r="AG40" i="15"/>
  <c r="AG39" i="15"/>
  <c r="AG38" i="15"/>
  <c r="AG37" i="15"/>
  <c r="AG36" i="15"/>
  <c r="AB42" i="15"/>
  <c r="AB41" i="15"/>
  <c r="AB40" i="15"/>
  <c r="AB39" i="15"/>
  <c r="AB38" i="15"/>
  <c r="AB37" i="15"/>
  <c r="C37" i="15" s="1"/>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C38" i="15"/>
  <c r="BF50" i="15" l="1"/>
  <c r="C42" i="15"/>
  <c r="BF37" i="15"/>
  <c r="BF42" i="15"/>
  <c r="C41" i="15"/>
  <c r="C73" i="26"/>
  <c r="C78" i="26" s="1"/>
  <c r="C81" i="26" s="1"/>
  <c r="H94" i="26"/>
  <c r="H63" i="26"/>
  <c r="J58" i="26"/>
  <c r="J59" i="26"/>
  <c r="K43" i="26"/>
  <c r="J56" i="26"/>
  <c r="B83" i="26"/>
  <c r="B81" i="26"/>
  <c r="B79" i="26"/>
  <c r="B84" i="26" s="1"/>
  <c r="E66" i="26"/>
  <c r="I49" i="26"/>
  <c r="J47" i="26"/>
  <c r="F65" i="26"/>
  <c r="F70" i="26"/>
  <c r="I54" i="26"/>
  <c r="G63" i="26"/>
  <c r="G94" i="26"/>
  <c r="H77" i="26"/>
  <c r="H50" i="26"/>
  <c r="H64" i="26" s="1"/>
  <c r="H72" i="26" s="1"/>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D73" i="26" l="1"/>
  <c r="D78" i="26" s="1"/>
  <c r="D81" i="26" s="1"/>
  <c r="D82" i="26" s="1"/>
  <c r="C83" i="26"/>
  <c r="C79" i="26"/>
  <c r="C84" i="26" s="1"/>
  <c r="I74" i="26"/>
  <c r="I61" i="26"/>
  <c r="J49" i="26"/>
  <c r="B82" i="26"/>
  <c r="B85" i="26" s="1"/>
  <c r="C82" i="26"/>
  <c r="I77" i="26"/>
  <c r="I50" i="26"/>
  <c r="I64" i="26" s="1"/>
  <c r="I72" i="26" s="1"/>
  <c r="E73" i="26"/>
  <c r="E78" i="26" s="1"/>
  <c r="E81" i="26" s="1"/>
  <c r="J54" i="26"/>
  <c r="H65" i="26"/>
  <c r="H70" i="26"/>
  <c r="G70" i="26"/>
  <c r="G65" i="26"/>
  <c r="F66" i="26"/>
  <c r="F67" i="26" s="1"/>
  <c r="E67" i="26"/>
  <c r="D83" i="26"/>
  <c r="K59" i="26"/>
  <c r="K58" i="26"/>
  <c r="K56" i="26"/>
  <c r="BA34" i="15"/>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D79" i="26"/>
  <c r="D84" i="26"/>
  <c r="C85" i="26"/>
  <c r="C28" i="15"/>
  <c r="F28" i="15" s="1"/>
  <c r="F24" i="15" s="1"/>
  <c r="BG28" i="15"/>
  <c r="BF28" i="15"/>
  <c r="AQ30" i="15"/>
  <c r="C25" i="15"/>
  <c r="D85" i="26"/>
  <c r="F73" i="26"/>
  <c r="F78" i="26" s="1"/>
  <c r="F79" i="26" s="1"/>
  <c r="E79" i="26"/>
  <c r="E84" i="26" s="1"/>
  <c r="J50" i="26"/>
  <c r="J64" i="26" s="1"/>
  <c r="J72" i="26" s="1"/>
  <c r="J77" i="26"/>
  <c r="E82" i="26"/>
  <c r="K47" i="26"/>
  <c r="K49" i="26" s="1"/>
  <c r="E83" i="26"/>
  <c r="G66" i="26"/>
  <c r="H66" i="26"/>
  <c r="H67" i="26" s="1"/>
  <c r="I94" i="26"/>
  <c r="I63" i="26"/>
  <c r="K54" i="26"/>
  <c r="J61" i="26"/>
  <c r="J74" i="26"/>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E85" i="26"/>
  <c r="BF24" i="15"/>
  <c r="F84" i="26"/>
  <c r="I65" i="26"/>
  <c r="I70" i="26"/>
  <c r="J94" i="26"/>
  <c r="J63" i="26"/>
  <c r="K50" i="26"/>
  <c r="K64" i="26" s="1"/>
  <c r="K72" i="26" s="1"/>
  <c r="K77" i="26"/>
  <c r="K61" i="26"/>
  <c r="K74" i="26"/>
  <c r="G73" i="26"/>
  <c r="G78" i="26" s="1"/>
  <c r="G83" i="26" s="1"/>
  <c r="G67" i="26"/>
  <c r="F81" i="26"/>
  <c r="F83" i="26"/>
  <c r="BF30" i="15"/>
  <c r="C30" i="15"/>
  <c r="AF52" i="15" s="1"/>
  <c r="BG30" i="15"/>
  <c r="D30" i="15"/>
  <c r="AL52" i="15"/>
  <c r="AP51" i="15"/>
  <c r="C24" i="15"/>
  <c r="AB52" i="15" l="1"/>
  <c r="AB51" i="15" s="1"/>
  <c r="AF51" i="15"/>
  <c r="R52" i="15"/>
  <c r="R51" i="15" s="1"/>
  <c r="V51" i="15"/>
  <c r="F82" i="26"/>
  <c r="F85" i="26" s="1"/>
  <c r="I66" i="26"/>
  <c r="H73" i="26"/>
  <c r="H78" i="26" s="1"/>
  <c r="H81" i="26" s="1"/>
  <c r="K63" i="26"/>
  <c r="K94" i="26"/>
  <c r="M94" i="26" s="1"/>
  <c r="C96" i="26" s="1"/>
  <c r="B86" i="26" s="1"/>
  <c r="J65" i="26"/>
  <c r="J70" i="26"/>
  <c r="G81" i="26"/>
  <c r="G82" i="26" s="1"/>
  <c r="G79" i="26"/>
  <c r="G84" i="26" s="1"/>
  <c r="BF52" i="15"/>
  <c r="BF51" i="15" s="1"/>
  <c r="C52" i="15"/>
  <c r="C51" i="15" s="1"/>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H83" i="26" l="1"/>
  <c r="G85" i="26"/>
  <c r="K70" i="26"/>
  <c r="K65" i="26"/>
  <c r="I73" i="26"/>
  <c r="I78" i="26" s="1"/>
  <c r="I79" i="26" s="1"/>
  <c r="I84" i="26" s="1"/>
  <c r="H79" i="26"/>
  <c r="H84" i="26" s="1"/>
  <c r="I67" i="26"/>
  <c r="H82" i="26"/>
  <c r="J66" i="26"/>
  <c r="J73" i="26" l="1"/>
  <c r="J78" i="26" s="1"/>
  <c r="J79" i="26" s="1"/>
  <c r="J84" i="26" s="1"/>
  <c r="J67" i="26"/>
  <c r="H85" i="26"/>
  <c r="J83" i="26"/>
  <c r="I81" i="26"/>
  <c r="I83" i="26"/>
  <c r="K66" i="26"/>
  <c r="K73" i="26" s="1"/>
  <c r="K78" i="26" s="1"/>
  <c r="J81" i="26" l="1"/>
  <c r="K81" i="26"/>
  <c r="K79" i="26"/>
  <c r="K84" i="26" s="1"/>
  <c r="G22" i="26" s="1"/>
  <c r="K83" i="26"/>
  <c r="J82" i="26"/>
  <c r="I82" i="26"/>
  <c r="I85" i="26" s="1"/>
  <c r="K82" i="26"/>
  <c r="K67" i="26"/>
  <c r="J85" i="26" l="1"/>
  <c r="B100" i="26"/>
  <c r="K85" i="26"/>
  <c r="G24" i="26"/>
  <c r="G25" i="26" s="1"/>
  <c r="G23" i="26" l="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<sst xmlns="http://schemas.openxmlformats.org/spreadsheetml/2006/main" count="1000" uniqueCount="553">
  <si>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</si>
  <si>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</si>
  <si>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</si>
  <si>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</si>
  <si>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</si>
  <si>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</si>
  <si>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</si>
  <si>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</si>
  <si>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</si>
  <si>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</si>
  <si>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</si>
  <si>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</si>
  <si>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</si>
  <si>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</si>
  <si>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</si>
  <si>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</si>
  <si>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</si>
  <si>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</si>
  <si>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</si>
  <si>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</si>
  <si>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</si>
  <si>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</si>
  <si>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</si>
  <si>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</si>
  <si>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</si>
  <si>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</si>
  <si>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</si>
  <si>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</si>
  <si>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</si>
  <si>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</si>
  <si>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</si>
  <si>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</si>
  <si>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</si>
  <si>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</si>
  <si>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</si>
  <si>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</si>
  <si>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</si>
  <si>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</si>
  <si>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</si>
  <si>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</si>
  <si>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</si>
  <si>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</si>
  <si>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</si>
  <si>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</si>
  <si>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</si>
  <si>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</si>
  <si>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</si>
  <si>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</si>
  <si>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</si>
  <si>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</si>
  <si>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</si>
  <si>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</si>
  <si>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</si>
  <si>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</si>
  <si>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</si>
  <si>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</si>
  <si>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</si>
  <si>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</si>
  <si>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</si>
  <si>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</si>
  <si>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</si>
  <si>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</si>
  <si>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</si>
  <si>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</si>
  <si>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</si>
  <si>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</si>
  <si>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</si>
  <si>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</si>
  <si>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</si>
  <si>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</si>
  <si>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</si>
  <si>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</si>
  <si>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</si>
  <si>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</si>
  <si>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</si>
  <si>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</si>
  <si>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</si>
  <si>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</si>
  <si>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</si>
  <si>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</si>
  <si>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</si>
  <si>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</si>
  <si>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</si>
  <si>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</si>
  <si>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</si>
  <si>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</si>
  <si>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</si>
  <si>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</si>
  <si>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</si>
  <si>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</si>
  <si>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</si>
  <si>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</si>
  <si>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</si>
  <si>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</si>
  <si>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</si>
  <si>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</si>
  <si>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</si>
  <si>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</si>
  <si>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</si>
  <si>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</si>
  <si>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</si>
  <si>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</si>
  <si>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</si>
  <si>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</si>
  <si>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</si>
  <si>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</si>
  <si>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</si>
  <si>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</si>
  <si>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</si>
  <si>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</si>
  <si>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</si>
  <si>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</si>
  <si>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</si>
  <si>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</si>
  <si>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</si>
  <si>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</si>
  <si>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</si>
  <si>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</si>
  <si>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</si>
  <si>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</si>
  <si>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</si>
  <si>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</si>
  <si>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</si>
  <si>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</si>
  <si>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</si>
  <si>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</si>
  <si>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</si>
  <si>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</si>
  <si>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</si>
  <si>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</si>
  <si>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</si>
  <si>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</si>
  <si>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</si>
  <si>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</si>
  <si>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</si>
  <si>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</si>
  <si>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</si>
  <si>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</si>
  <si>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</si>
  <si>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</si>
  <si>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</si>
  <si>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</si>
  <si>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</si>
  <si>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</si>
  <si>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</si>
  <si>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</si>
  <si>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</si>
  <si>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</si>
  <si>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</si>
  <si>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</si>
  <si>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</si>
  <si>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</si>
  <si>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</si>
  <si>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</si>
  <si>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</si>
  <si>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</si>
  <si>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</si>
  <si>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</si>
  <si>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</si>
  <si>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</si>
  <si>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</si>
  <si>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</si>
  <si>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</si>
  <si>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</si>
  <si>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</si>
  <si>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</si>
  <si>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</si>
  <si>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</si>
  <si>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</si>
  <si>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</si>
  <si>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</si>
  <si>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</si>
  <si>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</si>
  <si>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</si>
  <si>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</si>
  <si>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</si>
  <si>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</si>
  <si>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</si>
  <si>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</si>
  <si>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</si>
  <si>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</si>
  <si>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</si>
  <si>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</si>
  <si>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</si>
  <si>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</si>
  <si>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</si>
  <si>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</si>
  <si>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</si>
  <si>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</si>
  <si>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</si>
  <si>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</si>
  <si>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</si>
  <si>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</si>
  <si>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</si>
  <si>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</si>
  <si>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</si>
  <si>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</si>
  <si>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</si>
  <si>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</si>
  <si>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</si>
  <si>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</si>
  <si>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</si>
  <si>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</si>
  <si>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</si>
  <si>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</si>
  <si>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</si>
  <si>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</si>
  <si>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</si>
  <si>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</si>
  <si>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</si>
  <si>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</si>
  <si>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</si>
  <si>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</si>
  <si>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</si>
  <si>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</si>
  <si>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</si>
  <si>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</si>
  <si>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</si>
  <si>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</si>
  <si>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</si>
  <si>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</si>
  <si>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</si>
  <si>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</si>
  <si>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</si>
  <si>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</si>
  <si>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</si>
  <si>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</si>
  <si>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</si>
  <si>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</si>
  <si>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</si>
  <si>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</si>
  <si>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</si>
  <si>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</si>
  <si>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</si>
  <si>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</si>
  <si>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</si>
  <si>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</si>
  <si>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</si>
  <si>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</si>
  <si>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</si>
  <si>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</si>
  <si>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</si>
  <si>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</si>
  <si>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</si>
  <si>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</si>
  <si>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</si>
  <si>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</si>
  <si>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</si>
  <si>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</si>
  <si>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</si>
  <si>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</si>
  <si>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</si>
  <si>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</si>
  <si>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</si>
  <si>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</si>
  <si>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</si>
  <si>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</si>
  <si>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</si>
  <si>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</si>
  <si>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</si>
  <si>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</si>
  <si>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</si>
  <si>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</si>
  <si>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</si>
  <si>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</si>
  <si>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</si>
  <si>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</si>
  <si>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</si>
  <si>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</si>
  <si>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</si>
  <si>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</si>
  <si>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</si>
  <si>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</si>
  <si>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</si>
  <si>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</si>
  <si>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</si>
  <si>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</si>
  <si>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</si>
  <si>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</si>
  <si>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</si>
  <si>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</si>
  <si>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</si>
  <si>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</si>
  <si>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</si>
  <si>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</si>
  <si>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</si>
  <si>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</si>
  <si>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</si>
  <si>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</si>
  <si>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</si>
  <si>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</si>
  <si>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</si>
  <si>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</si>
  <si>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</si>
  <si>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</si>
  <si>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</si>
  <si>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</si>
  <si>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</si>
  <si>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</si>
  <si>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</si>
  <si>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</si>
  <si>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</si>
  <si>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</si>
  <si>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</si>
  <si>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</si>
  <si>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</si>
  <si>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</si>
  <si>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</si>
  <si>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</si>
  <si>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</si>
  <si>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</si>
  <si>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</si>
  <si>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</si>
  <si>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</si>
  <si>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</si>
  <si>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</si>
  <si>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</si>
  <si>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</si>
  <si>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</si>
  <si>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</si>
  <si>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</si>
  <si>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</si>
  <si>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</si>
  <si>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</si>
  <si>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</si>
  <si>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</si>
  <si>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</si>
  <si>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</si>
  <si>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</si>
  <si>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</si>
  <si>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</si>
  <si>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</si>
  <si>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</si>
  <si>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</si>
  <si>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</si>
  <si>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</si>
  <si>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</si>
  <si>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</si>
  <si>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</si>
  <si>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</si>
  <si>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</si>
  <si>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</si>
  <si>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</si>
  <si>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</si>
  <si>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</si>
  <si>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</si>
  <si>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</si>
  <si>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</si>
  <si>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</si>
  <si>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</si>
  <si>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</si>
  <si>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</si>
  <si>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</si>
  <si>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</si>
  <si>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</si>
  <si>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</si>
  <si>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</si>
  <si>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</si>
  <si>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</si>
  <si>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</si>
  <si>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</si>
  <si>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</si>
  <si>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</si>
  <si>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</si>
  <si>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</si>
  <si>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</si>
  <si>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</si>
  <si>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</si>
  <si>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</si>
  <si>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</si>
  <si>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</si>
  <si>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</si>
  <si>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</si>
  <si>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</si>
  <si>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</si>
  <si>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</si>
  <si>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</si>
  <si>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</si>
  <si>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</si>
  <si>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</si>
  <si>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</si>
  <si>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</si>
  <si>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</si>
  <si>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</si>
  <si>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</si>
  <si>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</si>
  <si>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</si>
  <si>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</si>
  <si>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</si>
  <si>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</si>
  <si>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</si>
  <si>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</si>
  <si>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</si>
  <si>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</si>
  <si>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</si>
  <si>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</si>
  <si>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</si>
  <si>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</si>
  <si>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</si>
  <si>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</si>
  <si>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</si>
  <si>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</si>
  <si>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</si>
  <si>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</si>
  <si>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</si>
  <si>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</si>
  <si>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</si>
  <si>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</si>
  <si>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</si>
  <si>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</si>
  <si>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</si>
  <si>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</si>
  <si>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</si>
  <si>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</si>
  <si>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</si>
  <si>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</si>
  <si>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</si>
  <si>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</si>
  <si>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</si>
  <si>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</si>
  <si>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</si>
  <si>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</si>
  <si>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</si>
  <si>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</si>
  <si>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</si>
  <si>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</si>
  <si>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</si>
  <si>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</si>
  <si>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</si>
  <si>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</si>
  <si>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</si>
  <si>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</si>
  <si>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</si>
  <si>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</si>
  <si>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</si>
  <si>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</si>
  <si>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</si>
  <si>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</si>
  <si>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</si>
  <si>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</si>
  <si>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</si>
  <si>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</si>
  <si>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</si>
  <si>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</si>
  <si>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реконструкция</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</si>
  <si>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</si>
  <si>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</si>
  <si>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</si>
  <si>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</si>
  <si>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</si>
  <si>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</si>
  <si>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</si>
  <si>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</si>
  <si>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</si>
  <si>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</si>
  <si>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</si>
  <si>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</si>
  <si>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</si>
  <si>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</si>
  <si>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</si>
  <si>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проектирование выполняется в ходе реализации инвестиционного проекта первым этапом</t>
  </si>
  <si>
    <t>планируется получение в ходе проектирования</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</si>
  <si>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</si>
  <si>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</si>
  <si>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</si>
  <si>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Указанный срок ввода объекта в эксплуатацию возможен</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</si>
  <si>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</si>
  <si>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</si>
  <si>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</si>
  <si>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</si>
  <si>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</si>
  <si>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</si>
  <si>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</si>
  <si>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</si>
  <si>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</si>
  <si>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</si>
  <si>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</si>
  <si>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</si>
  <si>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</si>
  <si>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</si>
  <si>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</si>
  <si>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</si>
  <si>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</si>
  <si>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</si>
  <si>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</si>
  <si>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</si>
  <si>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</si>
  <si>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</si>
  <si>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</si>
  <si>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</si>
  <si>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</si>
  <si>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</si>
  <si>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</si>
  <si>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</si>
  <si>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</si>
  <si>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</si>
  <si>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</si>
  <si>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</si>
  <si>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</si>
  <si>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</si>
  <si>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</si>
  <si>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</si>
  <si>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</si>
  <si>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Трансформатор силовой масляный</t>
  </si>
  <si>
    <t>определяется проектом</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</si>
  <si>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</si>
  <si>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</si>
  <si>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</si>
  <si>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</si>
  <si>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</si>
  <si>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</si>
  <si>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</si>
  <si>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Требуется</t>
  </si>
  <si>
    <t>Региональный</t>
  </si>
  <si>
    <t>ДА Распоряжение главы РК от 28.04.2020 №187-рг</t>
  </si>
  <si>
    <t>ПС 110 кВ Дарсан</t>
  </si>
  <si>
    <t>Т1</t>
  </si>
  <si>
    <t>Отчет от 22.12.2016 №48/09-16 ООО "КМНУ-14"</t>
  </si>
  <si>
    <t>не проводилось</t>
  </si>
  <si>
    <t>Т2</t>
  </si>
  <si>
    <t>Выключатель 110 кВ</t>
  </si>
  <si>
    <t>ВМТ-110Б 25/1250</t>
  </si>
  <si>
    <t>-</t>
  </si>
  <si>
    <t>МВ-110 Т-2</t>
  </si>
  <si>
    <t>ЭВ-110 Т-2</t>
  </si>
  <si>
    <t>СМВ-110</t>
  </si>
  <si>
    <t>ЭМВ-110</t>
  </si>
  <si>
    <t xml:space="preserve">Вакуумный выключатель </t>
  </si>
  <si>
    <t>ВВ/TEL 10 кВ</t>
  </si>
  <si>
    <t>определяется после монтажа</t>
  </si>
  <si>
    <t>не проводилось (оборудование вводится впервые)</t>
  </si>
  <si>
    <t>ПИР 2021г.
СМР 2022г.</t>
  </si>
  <si>
    <t>K_1101004</t>
  </si>
  <si>
    <t>Реконструкция ПС 110 кВ "Артек" с заменой силовых трансформаторов  и расширением РУ 10 кВ  на 4 линейных ячеек.</t>
  </si>
  <si>
    <t>Реконструкция существующих объектов электросетевого хозяйства для усиления электрической сети в целях снятия ограничения по ранее подключенным потребителям</t>
  </si>
  <si>
    <t>Повышение надежности электроснабжения потребителей  В юго -западной части Республики Крым</t>
  </si>
  <si>
    <t>Ялтинский городской совет. Гурзуф</t>
  </si>
  <si>
    <t>Увеличение установленной мощности трансформаторов до  32 МВА, увеличение количества  линейных ячеек 10 кВ на  2.</t>
  </si>
  <si>
    <t>255.26 млн. руб с НДС</t>
  </si>
  <si>
    <t>212.71 млн. руб. без НДС</t>
  </si>
  <si>
    <t>ПС 110 кВ Артек</t>
  </si>
  <si>
    <t>ТДН-10000/110-70</t>
  </si>
  <si>
    <t>не менее 16</t>
  </si>
  <si>
    <t>Отчет от 03.03.2017 №15/03-17, ООО "КМНУ-14"</t>
  </si>
  <si>
    <t>ТДН-10000/110</t>
  </si>
  <si>
    <t>РУ 10 кВ</t>
  </si>
  <si>
    <t>Ячейки с выключателями 10 кВ</t>
  </si>
  <si>
    <t>(28  шт) Количество и тип определяется проектом</t>
  </si>
  <si>
    <t>2016</t>
  </si>
  <si>
    <t>Повышение надежности электроснабжения потребителей юго-западной части Республики Крым; снятие ограничений по мощности ранее подключенныъ потребитей</t>
  </si>
  <si>
    <t>Повышение надежности электроснабжения потребителей юго-западной части Республики Крым, уменьшение отказов в работе электрооборудования, уменьшение затрат на выполнение ремонтов. Увеличение мощности силовых трансформаторов до 32 МВА</t>
  </si>
  <si>
    <t>Исключение превышения АДТН одного трансформатора в режиме аварийного отключения второго трансформатора с учётом ТП</t>
  </si>
  <si>
    <t>32/12 МВА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</si>
</sst>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5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b/>
      <sz val="11"/>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3"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175" fontId="94" fillId="0" borderId="0"/>
    <xf numFmtId="0" fontId="94"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178"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5" fillId="0" borderId="0"/>
    <xf numFmtId="0" fontId="94" fillId="0" borderId="0"/>
    <xf numFmtId="0" fontId="94"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5" fillId="0" borderId="0"/>
    <xf numFmtId="174" fontId="29" fillId="0" borderId="0"/>
    <xf numFmtId="174" fontId="95" fillId="0" borderId="0"/>
    <xf numFmtId="0" fontId="94" fillId="0" borderId="0"/>
    <xf numFmtId="174" fontId="94" fillId="0" borderId="0"/>
    <xf numFmtId="174" fontId="95" fillId="0" borderId="0"/>
    <xf numFmtId="174" fontId="94" fillId="0" borderId="0"/>
    <xf numFmtId="174" fontId="95" fillId="0" borderId="0"/>
    <xf numFmtId="174" fontId="95" fillId="0" borderId="0"/>
    <xf numFmtId="174"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4" fillId="0" borderId="0"/>
    <xf numFmtId="174" fontId="50" fillId="0" borderId="0"/>
    <xf numFmtId="174" fontId="94" fillId="0" borderId="0"/>
    <xf numFmtId="174" fontId="94" fillId="0" borderId="0"/>
    <xf numFmtId="174" fontId="29" fillId="0" borderId="0"/>
    <xf numFmtId="0" fontId="94" fillId="0" borderId="0"/>
    <xf numFmtId="0" fontId="94" fillId="0" borderId="0"/>
    <xf numFmtId="0" fontId="50" fillId="0" borderId="0"/>
    <xf numFmtId="0" fontId="94" fillId="0" borderId="0"/>
    <xf numFmtId="0" fontId="94"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4" fillId="0" borderId="0"/>
    <xf numFmtId="177"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29" fillId="0" borderId="0"/>
    <xf numFmtId="0" fontId="29" fillId="0" borderId="0"/>
    <xf numFmtId="0" fontId="29" fillId="0" borderId="0"/>
    <xf numFmtId="0" fontId="29" fillId="0" borderId="0"/>
    <xf numFmtId="0" fontId="94" fillId="0" borderId="0"/>
    <xf numFmtId="0" fontId="29" fillId="0" borderId="0"/>
    <xf numFmtId="177" fontId="94" fillId="0" borderId="0"/>
    <xf numFmtId="178" fontId="29" fillId="0" borderId="0"/>
    <xf numFmtId="0" fontId="29" fillId="0" borderId="0"/>
    <xf numFmtId="177" fontId="94"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6" fillId="0" borderId="0"/>
    <xf numFmtId="0" fontId="96" fillId="0" borderId="0"/>
    <xf numFmtId="178" fontId="95" fillId="0" borderId="0"/>
    <xf numFmtId="178"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50" fillId="0" borderId="0"/>
    <xf numFmtId="175" fontId="50" fillId="0" borderId="0"/>
    <xf numFmtId="0" fontId="50" fillId="0" borderId="0"/>
    <xf numFmtId="0" fontId="94"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6" fillId="0" borderId="0"/>
    <xf numFmtId="0" fontId="96" fillId="0" borderId="0"/>
    <xf numFmtId="175" fontId="96" fillId="0" borderId="0"/>
    <xf numFmtId="0" fontId="96"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4"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177" fontId="94" fillId="0" borderId="0"/>
    <xf numFmtId="0" fontId="94" fillId="0" borderId="0"/>
    <xf numFmtId="0" fontId="94" fillId="0" borderId="0"/>
    <xf numFmtId="0" fontId="94" fillId="0" borderId="0"/>
    <xf numFmtId="0" fontId="96" fillId="0" borderId="0"/>
    <xf numFmtId="0" fontId="96" fillId="0" borderId="0"/>
    <xf numFmtId="178" fontId="95" fillId="0" borderId="0"/>
    <xf numFmtId="0" fontId="96" fillId="0" borderId="0"/>
    <xf numFmtId="0" fontId="96" fillId="0" borderId="0"/>
    <xf numFmtId="178" fontId="95" fillId="0" borderId="0"/>
    <xf numFmtId="178" fontId="95"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5" fontId="94" fillId="0" borderId="0"/>
    <xf numFmtId="177"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5" fontId="96" fillId="0" borderId="0"/>
    <xf numFmtId="0" fontId="96" fillId="0" borderId="0"/>
    <xf numFmtId="0" fontId="29" fillId="0" borderId="0"/>
    <xf numFmtId="177" fontId="29"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0" fontId="94"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4" fillId="0" borderId="0"/>
    <xf numFmtId="0" fontId="94" fillId="0" borderId="0"/>
    <xf numFmtId="0" fontId="94" fillId="0" borderId="0"/>
    <xf numFmtId="0" fontId="50"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178" fontId="29" fillId="0" borderId="0"/>
    <xf numFmtId="178" fontId="29" fillId="0" borderId="0"/>
    <xf numFmtId="0" fontId="94" fillId="0" borderId="0"/>
    <xf numFmtId="0" fontId="50"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29" fillId="0" borderId="0"/>
    <xf numFmtId="0" fontId="29" fillId="0" borderId="0"/>
    <xf numFmtId="0" fontId="94"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4" fillId="0" borderId="0"/>
    <xf numFmtId="0" fontId="50" fillId="0" borderId="0"/>
    <xf numFmtId="178" fontId="29"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178" fontId="29" fillId="0" borderId="0"/>
    <xf numFmtId="180" fontId="97" fillId="0" borderId="0">
      <protection locked="0"/>
    </xf>
    <xf numFmtId="180" fontId="97" fillId="0" borderId="0">
      <protection locked="0"/>
    </xf>
    <xf numFmtId="180" fontId="98" fillId="0" borderId="0">
      <protection locked="0"/>
    </xf>
    <xf numFmtId="180" fontId="98" fillId="0" borderId="0">
      <protection locked="0"/>
    </xf>
    <xf numFmtId="178" fontId="99" fillId="0" borderId="0">
      <protection locked="0"/>
    </xf>
    <xf numFmtId="181" fontId="97" fillId="0" borderId="0">
      <protection locked="0"/>
    </xf>
    <xf numFmtId="181" fontId="97" fillId="0" borderId="0">
      <protection locked="0"/>
    </xf>
    <xf numFmtId="181" fontId="98" fillId="0" borderId="0">
      <protection locked="0"/>
    </xf>
    <xf numFmtId="181" fontId="98" fillId="0" borderId="0">
      <protection locked="0"/>
    </xf>
    <xf numFmtId="178" fontId="99"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182" fontId="97" fillId="0" borderId="63">
      <protection locked="0"/>
    </xf>
    <xf numFmtId="182" fontId="97" fillId="0" borderId="63">
      <protection locked="0"/>
    </xf>
    <xf numFmtId="182" fontId="97" fillId="0" borderId="63">
      <protection locked="0"/>
    </xf>
    <xf numFmtId="182" fontId="98" fillId="0" borderId="63">
      <protection locked="0"/>
    </xf>
    <xf numFmtId="182" fontId="98" fillId="0" borderId="63">
      <protection locked="0"/>
    </xf>
    <xf numFmtId="182" fontId="97" fillId="0" borderId="63">
      <protection locked="0"/>
    </xf>
    <xf numFmtId="182" fontId="97" fillId="0" borderId="63">
      <protection locked="0"/>
    </xf>
    <xf numFmtId="182" fontId="97" fillId="0" borderId="63">
      <protection locked="0"/>
    </xf>
    <xf numFmtId="182" fontId="97" fillId="0" borderId="63">
      <protection locked="0"/>
    </xf>
    <xf numFmtId="182" fontId="97" fillId="0" borderId="64">
      <protection locked="0"/>
    </xf>
    <xf numFmtId="182" fontId="97" fillId="0" borderId="63">
      <protection locked="0"/>
    </xf>
    <xf numFmtId="182" fontId="97" fillId="0" borderId="63">
      <protection locked="0"/>
    </xf>
    <xf numFmtId="182" fontId="98" fillId="0" borderId="63">
      <protection locked="0"/>
    </xf>
    <xf numFmtId="178" fontId="99" fillId="0" borderId="64">
      <protection locked="0"/>
    </xf>
    <xf numFmtId="0" fontId="29" fillId="0" borderId="0"/>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1" fillId="0" borderId="63">
      <protection locked="0"/>
    </xf>
    <xf numFmtId="0" fontId="100" fillId="0" borderId="63">
      <protection locked="0"/>
    </xf>
    <xf numFmtId="0" fontId="101" fillId="0" borderId="63">
      <protection locked="0"/>
    </xf>
    <xf numFmtId="0" fontId="101"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4">
      <protection locked="0"/>
    </xf>
    <xf numFmtId="0" fontId="100" fillId="0" borderId="63">
      <protection locked="0"/>
    </xf>
    <xf numFmtId="0" fontId="100" fillId="0" borderId="64">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100"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4"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4"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4"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5"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4"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4"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4"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06" fillId="40"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06" fillId="44"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06" fillId="48"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06" fillId="52"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06" fillId="56"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06" fillId="60"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8"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8"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8"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8"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06" fillId="37"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9" fillId="41"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06" fillId="41" borderId="0" applyNumberFormat="0" applyBorder="0" applyAlignment="0" applyProtection="0"/>
    <xf numFmtId="0" fontId="17" fillId="82"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06" fillId="45"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06" fillId="49"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9" fillId="53"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06" fillId="53" borderId="0" applyNumberFormat="0" applyBorder="0" applyAlignment="0" applyProtection="0"/>
    <xf numFmtId="0" fontId="17" fillId="78"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0" fontId="106" fillId="57"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183" fontId="110"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1" fillId="31"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2"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0" fontId="114" fillId="35" borderId="60"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5"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6" fillId="0" borderId="0" applyFont="0" applyFill="0" applyBorder="0" applyAlignment="0" applyProtection="0"/>
    <xf numFmtId="186" fontId="95" fillId="0" borderId="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187" fontId="118" fillId="89" borderId="0">
      <alignment horizontal="left"/>
    </xf>
    <xf numFmtId="188" fontId="95" fillId="0" borderId="0" applyFill="0" applyBorder="0" applyAlignment="0" applyProtection="0"/>
    <xf numFmtId="189" fontId="95" fillId="0" borderId="0" applyFill="0" applyBorder="0" applyAlignment="0" applyProtection="0"/>
    <xf numFmtId="1" fontId="119" fillId="90" borderId="0"/>
    <xf numFmtId="190"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4" fontId="18" fillId="0" borderId="0" applyFont="0" applyFill="0" applyBorder="0" applyAlignment="0" applyProtection="0"/>
    <xf numFmtId="0" fontId="95" fillId="0" borderId="0" applyNumberFormat="0" applyFill="0" applyBorder="0" applyAlignment="0" applyProtection="0"/>
    <xf numFmtId="195" fontId="115" fillId="91" borderId="0" applyNumberFormat="0" applyBorder="0" applyAlignment="0" applyProtection="0"/>
    <xf numFmtId="195" fontId="115" fillId="91" borderId="0" applyNumberFormat="0" applyBorder="0" applyAlignment="0" applyProtection="0"/>
    <xf numFmtId="196" fontId="120" fillId="0" borderId="0">
      <alignment horizontal="center"/>
    </xf>
    <xf numFmtId="197" fontId="95" fillId="0" borderId="0" applyFill="0" applyBorder="0" applyAlignment="0" applyProtection="0"/>
    <xf numFmtId="178" fontId="95" fillId="0" borderId="0" applyFill="0" applyBorder="0" applyAlignment="0" applyProtection="0"/>
    <xf numFmtId="38" fontId="121" fillId="0" borderId="0" applyFont="0" applyFill="0" applyBorder="0" applyAlignment="0" applyProtection="0"/>
    <xf numFmtId="0" fontId="122" fillId="0" borderId="0" applyFont="0" applyFill="0" applyBorder="0" applyAlignment="0" applyProtection="0"/>
    <xf numFmtId="178" fontId="95" fillId="0" borderId="0" applyFill="0" applyBorder="0" applyAlignment="0" applyProtection="0"/>
    <xf numFmtId="198" fontId="95"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5" fillId="0" borderId="0" applyFill="0" applyBorder="0" applyAlignment="0" applyProtection="0"/>
    <xf numFmtId="0" fontId="104"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0" fontId="124" fillId="0" borderId="0" applyFill="0" applyBorder="0">
      <alignment horizontal="right" vertical="top"/>
    </xf>
    <xf numFmtId="201" fontId="124" fillId="0" borderId="0" applyFill="0" applyBorder="0">
      <alignment horizontal="right" vertical="top"/>
    </xf>
    <xf numFmtId="174" fontId="125" fillId="0" borderId="0">
      <alignment horizontal="center" wrapText="1"/>
    </xf>
    <xf numFmtId="171" fontId="124" fillId="0" borderId="0" applyFill="0" applyBorder="0" applyAlignment="0" applyProtection="0">
      <alignment horizontal="right" vertical="top"/>
    </xf>
    <xf numFmtId="202" fontId="126" fillId="0" borderId="0"/>
    <xf numFmtId="174" fontId="124" fillId="0" borderId="0" applyFill="0" applyBorder="0">
      <alignment horizontal="left" vertical="top"/>
    </xf>
    <xf numFmtId="174" fontId="127"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0" fontId="130" fillId="30"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38" fontId="131" fillId="92" borderId="0" applyNumberFormat="0" applyBorder="0" applyAlignment="0" applyProtection="0"/>
    <xf numFmtId="38" fontId="131" fillId="92" borderId="0" applyNumberFormat="0" applyBorder="0" applyAlignment="0" applyProtection="0"/>
    <xf numFmtId="1" fontId="132" fillId="93" borderId="0"/>
    <xf numFmtId="174" fontId="133" fillId="0" borderId="66" applyNumberFormat="0" applyAlignment="0" applyProtection="0">
      <alignment horizontal="left" vertical="center"/>
    </xf>
    <xf numFmtId="0" fontId="134" fillId="0" borderId="66" applyNumberFormat="0" applyAlignment="0" applyProtection="0">
      <alignment horizontal="left" vertical="center"/>
    </xf>
    <xf numFmtId="0" fontId="133" fillId="0" borderId="66" applyNumberFormat="0" applyAlignment="0" applyProtection="0">
      <alignment horizontal="left" vertical="center"/>
    </xf>
    <xf numFmtId="0" fontId="133" fillId="0" borderId="67" applyNumberFormat="0" applyAlignment="0" applyProtection="0"/>
    <xf numFmtId="0" fontId="133" fillId="0" borderId="67" applyNumberFormat="0" applyAlignment="0" applyProtection="0"/>
    <xf numFmtId="174" fontId="133" fillId="0" borderId="7">
      <alignment horizontal="left" vertical="center"/>
    </xf>
    <xf numFmtId="0" fontId="134" fillId="0" borderId="7">
      <alignment horizontal="left" vertical="center"/>
    </xf>
    <xf numFmtId="0" fontId="134" fillId="0" borderId="7">
      <alignment horizontal="left" vertical="center"/>
    </xf>
    <xf numFmtId="177" fontId="134" fillId="0" borderId="7">
      <alignment horizontal="left" vertical="center"/>
    </xf>
    <xf numFmtId="177" fontId="134" fillId="0" borderId="7">
      <alignment horizontal="left" vertical="center"/>
    </xf>
    <xf numFmtId="0" fontId="133" fillId="0" borderId="68">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174" fontId="133"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4" fontId="115"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lignment horizontal="center"/>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138" fillId="0" borderId="0">
      <alignment horizontal="center" textRotation="90"/>
    </xf>
    <xf numFmtId="0" fontId="139" fillId="0" borderId="0" applyNumberFormat="0"/>
    <xf numFmtId="0" fontId="139" fillId="0" borderId="0" applyNumberFormat="0"/>
    <xf numFmtId="0" fontId="139"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lignment horizontal="left" vertical="center" wrapText="1"/>
    </xf>
    <xf numFmtId="0" fontId="144" fillId="0" borderId="0">
      <alignment horizontal="left" vertical="center" wrapText="1" indent="1"/>
    </xf>
    <xf numFmtId="0" fontId="144"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5"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5" fillId="95" borderId="70" applyNumberFormat="0" applyAlignment="0">
      <protection locked="0"/>
    </xf>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195" fontId="18" fillId="97" borderId="1" applyNumberFormat="0" applyFon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95" fillId="95" borderId="70" applyNumberFormat="0" applyAlignment="0">
      <protection locked="0"/>
    </xf>
    <xf numFmtId="0" fontId="95"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49" fontId="128"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6" fillId="0" borderId="71">
      <alignment horizontal="center"/>
    </xf>
    <xf numFmtId="49" fontId="147" fillId="0" borderId="72" applyNumberFormat="0">
      <alignment horizontal="center" shrinkToFit="1"/>
    </xf>
    <xf numFmtId="0" fontId="147" fillId="0" borderId="73" applyNumberFormat="0">
      <alignment horizontal="center" shrinkToFit="1"/>
    </xf>
    <xf numFmtId="0" fontId="147" fillId="0" borderId="73" applyNumberFormat="0">
      <alignment horizontal="center" shrinkToFit="1"/>
    </xf>
    <xf numFmtId="49" fontId="147" fillId="0" borderId="72" applyNumberFormat="0">
      <alignment horizontal="center" shrinkToFit="1"/>
    </xf>
    <xf numFmtId="0" fontId="147" fillId="0" borderId="73" applyNumberFormat="0">
      <alignment horizontal="center" shrinkToFit="1"/>
    </xf>
    <xf numFmtId="0" fontId="148" fillId="0" borderId="73" applyNumberFormat="0">
      <alignment horizontal="center"/>
    </xf>
    <xf numFmtId="1" fontId="147" fillId="0" borderId="72">
      <alignment horizontal="left"/>
    </xf>
    <xf numFmtId="1" fontId="147" fillId="0" borderId="73">
      <alignment horizontal="left"/>
    </xf>
    <xf numFmtId="1" fontId="147" fillId="0" borderId="73">
      <alignment horizontal="left"/>
    </xf>
    <xf numFmtId="1" fontId="147" fillId="0" borderId="72">
      <alignment horizontal="left"/>
    </xf>
    <xf numFmtId="1" fontId="147" fillId="0" borderId="73">
      <alignment horizontal="left"/>
    </xf>
    <xf numFmtId="49" fontId="149" fillId="0" borderId="0">
      <alignment horizontal="left" vertical="center" wrapText="1"/>
    </xf>
    <xf numFmtId="49" fontId="149" fillId="0" borderId="0">
      <alignment horizontal="center" vertical="center" wrapText="1"/>
    </xf>
    <xf numFmtId="49" fontId="150" fillId="0" borderId="0">
      <alignment horizontal="right" vertical="center"/>
    </xf>
    <xf numFmtId="49" fontId="150" fillId="0" borderId="0">
      <alignment horizontal="left" vertical="center" wrapText="1"/>
    </xf>
    <xf numFmtId="0" fontId="150" fillId="0" borderId="0">
      <alignment horizontal="right" vertical="center" wrapText="1"/>
    </xf>
    <xf numFmtId="49" fontId="150" fillId="0" borderId="74">
      <alignment horizontal="left" vertical="center"/>
    </xf>
    <xf numFmtId="0" fontId="150" fillId="0" borderId="74">
      <alignment horizontal="left" vertical="center"/>
    </xf>
    <xf numFmtId="49" fontId="150" fillId="0" borderId="75">
      <alignment horizontal="center" vertical="center" wrapText="1"/>
    </xf>
    <xf numFmtId="0" fontId="150" fillId="0" borderId="0">
      <alignment horizontal="left" vertical="center" wrapText="1"/>
    </xf>
    <xf numFmtId="0" fontId="150" fillId="0" borderId="76">
      <alignment horizontal="left" vertical="center" wrapText="1"/>
    </xf>
    <xf numFmtId="49" fontId="150" fillId="0" borderId="77">
      <alignment horizontal="right" vertical="center" wrapText="1"/>
    </xf>
    <xf numFmtId="49" fontId="150" fillId="0" borderId="77">
      <alignment horizontal="left" vertical="center" wrapText="1"/>
    </xf>
    <xf numFmtId="49" fontId="150" fillId="0" borderId="78">
      <alignment horizontal="left" vertical="center" wrapText="1"/>
    </xf>
    <xf numFmtId="49" fontId="150" fillId="0" borderId="79">
      <alignment horizontal="right" vertical="center" wrapText="1"/>
    </xf>
    <xf numFmtId="49" fontId="149" fillId="0" borderId="78">
      <alignment horizontal="center" wrapText="1"/>
    </xf>
    <xf numFmtId="49" fontId="149" fillId="0" borderId="76">
      <alignment horizontal="center" wrapText="1"/>
    </xf>
    <xf numFmtId="49" fontId="151" fillId="0" borderId="80">
      <alignment horizontal="left" vertical="center" wrapText="1"/>
    </xf>
    <xf numFmtId="49" fontId="152" fillId="0" borderId="0">
      <alignment horizontal="right" vertical="center"/>
    </xf>
    <xf numFmtId="0" fontId="150" fillId="0" borderId="77">
      <alignment horizontal="left" vertical="center" wrapText="1"/>
    </xf>
    <xf numFmtId="49" fontId="150" fillId="0" borderId="77">
      <alignment horizontal="right" vertical="top" wrapText="1"/>
    </xf>
    <xf numFmtId="49" fontId="150" fillId="0" borderId="81">
      <alignment horizontal="right" vertical="center" wrapText="1"/>
    </xf>
    <xf numFmtId="49" fontId="150" fillId="0" borderId="81">
      <alignment horizontal="left" vertical="center" wrapText="1"/>
    </xf>
    <xf numFmtId="49" fontId="150" fillId="0" borderId="80">
      <alignment horizontal="left" vertical="center" wrapText="1"/>
    </xf>
    <xf numFmtId="49" fontId="149" fillId="0" borderId="80">
      <alignment horizontal="center" wrapText="1"/>
    </xf>
    <xf numFmtId="0" fontId="152" fillId="0" borderId="80">
      <alignment horizontal="right" vertical="center" wrapText="1"/>
    </xf>
    <xf numFmtId="0" fontId="152" fillId="0" borderId="80">
      <alignment horizontal="left" vertical="center" wrapText="1"/>
    </xf>
    <xf numFmtId="49" fontId="152" fillId="0" borderId="80">
      <alignment horizontal="left" vertical="center" wrapText="1"/>
    </xf>
    <xf numFmtId="49" fontId="150" fillId="0" borderId="0">
      <alignment horizontal="left" vertical="center"/>
    </xf>
    <xf numFmtId="49" fontId="152" fillId="0" borderId="80">
      <alignment horizontal="right" vertical="center" wrapText="1"/>
    </xf>
    <xf numFmtId="49" fontId="153" fillId="0" borderId="80">
      <alignment horizontal="center" wrapText="1"/>
    </xf>
    <xf numFmtId="49" fontId="152" fillId="0" borderId="76">
      <alignment horizontal="center" vertical="top" wrapText="1"/>
    </xf>
    <xf numFmtId="0" fontId="152" fillId="0" borderId="76">
      <alignment horizontal="right" vertical="center" wrapText="1"/>
    </xf>
    <xf numFmtId="0" fontId="152" fillId="0" borderId="76">
      <alignment horizontal="left" vertical="center" wrapText="1"/>
    </xf>
    <xf numFmtId="49" fontId="152" fillId="0" borderId="76">
      <alignment horizontal="left" vertical="center" wrapText="1"/>
    </xf>
    <xf numFmtId="0" fontId="150" fillId="0" borderId="0">
      <alignment horizontal="left" vertical="center"/>
    </xf>
    <xf numFmtId="0" fontId="150" fillId="0" borderId="76">
      <alignment horizontal="right" vertical="center" wrapText="1"/>
    </xf>
    <xf numFmtId="49" fontId="150" fillId="0" borderId="76">
      <alignment horizontal="left" vertical="center" wrapText="1"/>
    </xf>
    <xf numFmtId="49" fontId="150" fillId="0" borderId="76">
      <alignment horizontal="right" vertical="center" wrapText="1"/>
    </xf>
    <xf numFmtId="49" fontId="152" fillId="0" borderId="76">
      <alignment horizontal="right" vertical="center" wrapText="1"/>
    </xf>
    <xf numFmtId="0" fontId="150" fillId="0" borderId="77">
      <alignment horizontal="right" vertical="center" wrapText="1"/>
    </xf>
    <xf numFmtId="49" fontId="154" fillId="0" borderId="80">
      <alignment horizontal="left" vertical="center" wrapText="1"/>
    </xf>
    <xf numFmtId="49" fontId="152" fillId="0" borderId="0">
      <alignment horizontal="center" vertical="center" wrapText="1"/>
    </xf>
    <xf numFmtId="0" fontId="152" fillId="0" borderId="82">
      <alignment horizontal="right" vertical="center" wrapText="1"/>
    </xf>
    <xf numFmtId="0" fontId="152" fillId="0" borderId="82">
      <alignment horizontal="left" vertical="center" wrapText="1"/>
    </xf>
    <xf numFmtId="49" fontId="152" fillId="0" borderId="82">
      <alignment horizontal="left" vertical="center" wrapText="1"/>
    </xf>
    <xf numFmtId="49" fontId="152" fillId="0" borderId="82">
      <alignment horizontal="right" vertical="center" wrapText="1"/>
    </xf>
    <xf numFmtId="0" fontId="150" fillId="0" borderId="83">
      <alignment horizontal="left" vertical="center"/>
    </xf>
    <xf numFmtId="49" fontId="150" fillId="0" borderId="0">
      <alignment horizontal="center" vertical="center" wrapText="1"/>
    </xf>
    <xf numFmtId="206" fontId="155"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14" fontId="146" fillId="0" borderId="71">
      <alignment horizontal="center"/>
    </xf>
    <xf numFmtId="207" fontId="146"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0" fontId="157" fillId="3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174" fontId="29" fillId="0" borderId="0"/>
    <xf numFmtId="178" fontId="158" fillId="0" borderId="0"/>
    <xf numFmtId="0" fontId="15" fillId="0" borderId="0" applyNumberFormat="0" applyFill="0" applyBorder="0" applyAlignment="0" applyProtection="0"/>
    <xf numFmtId="212" fontId="159" fillId="0" borderId="0"/>
    <xf numFmtId="0" fontId="29"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4" fillId="0" borderId="0"/>
    <xf numFmtId="0" fontId="155" fillId="0" borderId="0"/>
    <xf numFmtId="0" fontId="1" fillId="0" borderId="0"/>
    <xf numFmtId="0" fontId="1" fillId="0" borderId="0"/>
    <xf numFmtId="0" fontId="1" fillId="0" borderId="0"/>
    <xf numFmtId="0" fontId="1" fillId="0" borderId="0"/>
    <xf numFmtId="0" fontId="44" fillId="0" borderId="0"/>
    <xf numFmtId="0" fontId="161" fillId="0" borderId="0"/>
    <xf numFmtId="0" fontId="45" fillId="0" borderId="0"/>
    <xf numFmtId="0" fontId="116" fillId="0" borderId="0"/>
    <xf numFmtId="0" fontId="116" fillId="0" borderId="0"/>
    <xf numFmtId="0" fontId="160" fillId="0" borderId="0"/>
    <xf numFmtId="0" fontId="29" fillId="0" borderId="0"/>
    <xf numFmtId="0" fontId="29" fillId="0" borderId="0"/>
    <xf numFmtId="0" fontId="16" fillId="0" borderId="0"/>
    <xf numFmtId="0" fontId="29" fillId="0" borderId="0"/>
    <xf numFmtId="0" fontId="162" fillId="0" borderId="0"/>
    <xf numFmtId="0" fontId="163"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50"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6" fillId="0" borderId="0"/>
    <xf numFmtId="214" fontId="118" fillId="0" borderId="71"/>
    <xf numFmtId="214" fontId="146"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5" fillId="0" borderId="0" applyFont="0" applyFill="0" applyBorder="0" applyAlignment="0" applyProtection="0"/>
    <xf numFmtId="0" fontId="29" fillId="0" borderId="0" applyNumberFormat="0" applyFill="0" applyBorder="0" applyAlignment="0" applyProtection="0"/>
    <xf numFmtId="171" fontId="168" fillId="0" borderId="0" applyFont="0" applyFill="0" applyBorder="0" applyAlignment="0" applyProtection="0"/>
    <xf numFmtId="174" fontId="118" fillId="0" borderId="0"/>
    <xf numFmtId="174" fontId="169" fillId="0" borderId="0"/>
    <xf numFmtId="174" fontId="170" fillId="0" borderId="0"/>
    <xf numFmtId="174" fontId="171" fillId="0" borderId="0"/>
    <xf numFmtId="174" fontId="146" fillId="0" borderId="0"/>
    <xf numFmtId="0" fontId="172" fillId="0" borderId="0"/>
    <xf numFmtId="216" fontId="172" fillId="0" borderId="0"/>
    <xf numFmtId="0" fontId="173" fillId="67" borderId="0">
      <alignment horizontal="left" vertical="top"/>
    </xf>
    <xf numFmtId="0" fontId="151" fillId="67" borderId="0">
      <alignment horizontal="left" vertical="top"/>
    </xf>
    <xf numFmtId="0" fontId="151" fillId="67" borderId="0">
      <alignment horizontal="left" vertical="top"/>
    </xf>
    <xf numFmtId="0" fontId="151" fillId="67" borderId="0">
      <alignment horizontal="left" vertical="top"/>
    </xf>
    <xf numFmtId="0" fontId="174" fillId="67" borderId="0">
      <alignment horizontal="center" vertical="top"/>
    </xf>
    <xf numFmtId="0" fontId="151" fillId="67" borderId="0">
      <alignment horizontal="center" vertical="center"/>
    </xf>
    <xf numFmtId="0" fontId="151" fillId="67" borderId="0">
      <alignment horizontal="center" vertical="center"/>
    </xf>
    <xf numFmtId="0" fontId="151" fillId="67" borderId="0">
      <alignment horizontal="center" vertic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9" fillId="93" borderId="0"/>
    <xf numFmtId="174" fontId="29" fillId="0" borderId="0"/>
    <xf numFmtId="0" fontId="94" fillId="0" borderId="0"/>
    <xf numFmtId="0" fontId="177" fillId="0" borderId="0"/>
    <xf numFmtId="0" fontId="178" fillId="0" borderId="0"/>
    <xf numFmtId="0" fontId="95" fillId="0" borderId="0"/>
    <xf numFmtId="0" fontId="179" fillId="0" borderId="0"/>
    <xf numFmtId="174" fontId="29" fillId="90" borderId="65">
      <alignment vertical="center" wrapText="1"/>
    </xf>
    <xf numFmtId="174" fontId="29" fillId="90" borderId="65">
      <alignment vertical="center" wrapText="1"/>
    </xf>
    <xf numFmtId="1" fontId="180" fillId="0" borderId="0"/>
    <xf numFmtId="1" fontId="180" fillId="0" borderId="0"/>
    <xf numFmtId="1" fontId="180" fillId="0" borderId="0"/>
    <xf numFmtId="1" fontId="180" fillId="0" borderId="0"/>
    <xf numFmtId="1" fontId="181"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74" fontId="182" fillId="0" borderId="0"/>
    <xf numFmtId="174" fontId="183"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95" fontId="185" fillId="0" borderId="0" applyNumberFormat="0" applyFill="0" applyBorder="0" applyAlignment="0" applyProtection="0"/>
    <xf numFmtId="195" fontId="185"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17" fontId="95" fillId="0" borderId="0" applyFill="0" applyBorder="0" applyAlignment="0" applyProtection="0"/>
    <xf numFmtId="218" fontId="95"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1" fillId="0" borderId="0" applyFont="0" applyFill="0" applyBorder="0" applyAlignment="0" applyProtection="0"/>
    <xf numFmtId="222" fontId="121"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8"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8"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8"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8"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88" fillId="66"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9"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90" fillId="110" borderId="85">
      <alignment horizontal="right"/>
    </xf>
    <xf numFmtId="224" fontId="191"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center" vertical="center"/>
      <protection locked="0"/>
    </xf>
    <xf numFmtId="226" fontId="192" fillId="26" borderId="86">
      <alignment horizontal="right" vertical="center"/>
    </xf>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27" fontId="44" fillId="6" borderId="0" applyNumberFormat="0" applyFont="0" applyBorder="0" applyAlignment="0">
      <alignment horizontal="right" vertical="center"/>
    </xf>
    <xf numFmtId="227" fontId="95"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193" fillId="87"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4"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195" fillId="87"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6"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7"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228" fontId="116" fillId="111" borderId="85">
      <alignment horizontal="center" vertical="center"/>
    </xf>
    <xf numFmtId="228" fontId="199" fillId="112" borderId="87">
      <alignment horizontal="right"/>
    </xf>
    <xf numFmtId="229" fontId="192"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5" fillId="0" borderId="0" applyFont="0" applyFill="0" applyBorder="0" applyAlignment="0" applyProtection="0"/>
    <xf numFmtId="0" fontId="192" fillId="0" borderId="0" applyBorder="0">
      <alignment horizontal="center" vertical="center"/>
    </xf>
    <xf numFmtId="0" fontId="200" fillId="113" borderId="85" applyNumberFormat="0" applyAlignment="0"/>
    <xf numFmtId="0" fontId="201"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3"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4"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6"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7"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10"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90" fillId="114" borderId="87" applyNumberFormat="0" applyAlignment="0"/>
    <xf numFmtId="0" fontId="211" fillId="0" borderId="0">
      <alignment vertical="center"/>
    </xf>
    <xf numFmtId="0" fontId="211" fillId="0" borderId="0">
      <alignment vertical="center"/>
    </xf>
    <xf numFmtId="0" fontId="211" fillId="0" borderId="0">
      <alignment vertical="center"/>
    </xf>
    <xf numFmtId="0" fontId="44" fillId="0" borderId="0"/>
    <xf numFmtId="0" fontId="93" fillId="0" borderId="0"/>
    <xf numFmtId="227" fontId="44" fillId="23" borderId="0" applyNumberFormat="0" applyFont="0" applyBorder="0" applyAlignment="0">
      <alignment horizontal="right"/>
    </xf>
    <xf numFmtId="227" fontId="95" fillId="23" borderId="0" applyNumberFormat="0" applyFont="0" applyBorder="0" applyAlignment="0">
      <alignment horizontal="right"/>
    </xf>
    <xf numFmtId="0" fontId="212" fillId="0" borderId="0">
      <alignment horizontal="left" vertical="center"/>
    </xf>
    <xf numFmtId="0" fontId="213"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1"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1"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2"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5"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8" fillId="114" borderId="96">
      <alignment horizontal="left" vertical="center"/>
    </xf>
    <xf numFmtId="49" fontId="219" fillId="114" borderId="97">
      <alignment horizontal="left"/>
    </xf>
    <xf numFmtId="0" fontId="220" fillId="0" borderId="0">
      <alignment vertical="top"/>
    </xf>
    <xf numFmtId="0" fontId="221" fillId="0" borderId="0">
      <alignment vertical="top"/>
    </xf>
    <xf numFmtId="0" fontId="222" fillId="0" borderId="0">
      <alignment vertical="top"/>
    </xf>
    <xf numFmtId="0" fontId="223"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5"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5" fillId="0" borderId="0"/>
    <xf numFmtId="232" fontId="95" fillId="0" borderId="0"/>
    <xf numFmtId="232" fontId="95" fillId="0" borderId="0"/>
    <xf numFmtId="232" fontId="95" fillId="0" borderId="0"/>
    <xf numFmtId="232" fontId="95" fillId="0" borderId="0"/>
    <xf numFmtId="232" fontId="95"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5" fillId="0" borderId="0"/>
    <xf numFmtId="0" fontId="18" fillId="0" borderId="0"/>
    <xf numFmtId="0" fontId="18" fillId="0" borderId="0"/>
    <xf numFmtId="0" fontId="18" fillId="0" borderId="0"/>
    <xf numFmtId="0" fontId="18" fillId="0" borderId="0"/>
    <xf numFmtId="0" fontId="95"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29" fillId="0" borderId="0"/>
    <xf numFmtId="0" fontId="95"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9" fillId="0" borderId="0"/>
    <xf numFmtId="0" fontId="1" fillId="0" borderId="0"/>
    <xf numFmtId="0" fontId="95"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95" fillId="0" borderId="0"/>
    <xf numFmtId="0" fontId="1" fillId="0" borderId="0"/>
    <xf numFmtId="0" fontId="95" fillId="0" borderId="0"/>
    <xf numFmtId="0" fontId="1" fillId="0" borderId="0"/>
    <xf numFmtId="0" fontId="95"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7" fillId="0" borderId="0"/>
    <xf numFmtId="0" fontId="29" fillId="0" borderId="0"/>
    <xf numFmtId="0" fontId="1" fillId="0" borderId="0"/>
    <xf numFmtId="0" fontId="1" fillId="0" borderId="0"/>
    <xf numFmtId="0" fontId="44" fillId="0" borderId="0"/>
    <xf numFmtId="0" fontId="95"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5"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00"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9"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7"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7" fillId="0" borderId="0"/>
    <xf numFmtId="0" fontId="44" fillId="0" borderId="0"/>
    <xf numFmtId="0" fontId="44" fillId="0" borderId="0"/>
    <xf numFmtId="0" fontId="18" fillId="0" borderId="0"/>
    <xf numFmtId="0" fontId="228" fillId="0" borderId="0"/>
    <xf numFmtId="0" fontId="1" fillId="0" borderId="0"/>
    <xf numFmtId="0" fontId="44" fillId="0" borderId="0"/>
    <xf numFmtId="0" fontId="44" fillId="0" borderId="0"/>
    <xf numFmtId="0" fontId="1" fillId="0" borderId="0"/>
    <xf numFmtId="0" fontId="1" fillId="0" borderId="0"/>
    <xf numFmtId="0" fontId="229" fillId="0" borderId="0"/>
    <xf numFmtId="0" fontId="230"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30" fillId="0" borderId="0"/>
    <xf numFmtId="0" fontId="44" fillId="0" borderId="0"/>
    <xf numFmtId="0" fontId="230" fillId="0" borderId="0"/>
    <xf numFmtId="0" fontId="29" fillId="0" borderId="0"/>
    <xf numFmtId="0" fontId="229"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227"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95" fillId="0" borderId="0"/>
    <xf numFmtId="0" fontId="229"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0"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3" fillId="0" borderId="0"/>
    <xf numFmtId="0" fontId="1" fillId="0" borderId="0"/>
    <xf numFmtId="0" fontId="1" fillId="0" borderId="0"/>
    <xf numFmtId="0" fontId="16" fillId="0" borderId="0"/>
    <xf numFmtId="0" fontId="1" fillId="0" borderId="0"/>
    <xf numFmtId="0" fontId="16"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2" fillId="0" borderId="0"/>
    <xf numFmtId="0" fontId="234" fillId="0" borderId="0"/>
    <xf numFmtId="0" fontId="192" fillId="0" borderId="0"/>
    <xf numFmtId="0" fontId="192" fillId="0" borderId="0"/>
    <xf numFmtId="0" fontId="234" fillId="0" borderId="0"/>
    <xf numFmtId="0" fontId="173" fillId="0" borderId="0"/>
    <xf numFmtId="0" fontId="235" fillId="0" borderId="0"/>
    <xf numFmtId="0" fontId="1" fillId="0" borderId="0"/>
    <xf numFmtId="0" fontId="1" fillId="0" borderId="0"/>
    <xf numFmtId="0" fontId="229" fillId="0" borderId="0"/>
    <xf numFmtId="0" fontId="229" fillId="0" borderId="0"/>
    <xf numFmtId="0" fontId="95" fillId="0" borderId="0"/>
    <xf numFmtId="0" fontId="95"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6"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37" fillId="0" borderId="0"/>
    <xf numFmtId="0" fontId="237" fillId="0" borderId="0"/>
    <xf numFmtId="0" fontId="237" fillId="0" borderId="0"/>
    <xf numFmtId="0" fontId="2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7" fillId="0" borderId="0"/>
    <xf numFmtId="0" fontId="237"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8"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1"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5" fillId="99" borderId="18" applyNumberFormat="0" applyAlignment="0" applyProtection="0"/>
    <xf numFmtId="0" fontId="95"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233" fontId="244" fillId="0" borderId="87">
      <alignment horizontal="center" vertical="center"/>
      <protection hidden="1"/>
    </xf>
    <xf numFmtId="234" fontId="245"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5" fillId="0" borderId="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5"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47" fillId="0" borderId="0" applyFont="0" applyFill="0" applyBorder="0" applyAlignment="0" applyProtection="0"/>
    <xf numFmtId="9" fontId="247" fillId="0" borderId="0" applyFont="0" applyFill="0" applyBorder="0" applyAlignment="0" applyProtection="0"/>
    <xf numFmtId="9" fontId="16"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9" fillId="116" borderId="100"/>
    <xf numFmtId="0" fontId="199" fillId="116" borderId="87"/>
    <xf numFmtId="228" fontId="116" fillId="0" borderId="85">
      <alignment horizontal="center" vertical="center"/>
      <protection hidden="1"/>
    </xf>
    <xf numFmtId="228" fontId="199"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9"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1" fillId="117" borderId="7">
      <alignment vertical="center"/>
    </xf>
    <xf numFmtId="0" fontId="241" fillId="117" borderId="7">
      <alignment vertical="center"/>
    </xf>
    <xf numFmtId="0" fontId="241" fillId="117" borderId="7">
      <alignment vertical="center"/>
    </xf>
    <xf numFmtId="225" fontId="192" fillId="118" borderId="0">
      <alignment horizontal="right" vertical="center"/>
    </xf>
    <xf numFmtId="0" fontId="29" fillId="0" borderId="0"/>
    <xf numFmtId="0" fontId="29" fillId="0" borderId="0"/>
    <xf numFmtId="0" fontId="29" fillId="0" borderId="0"/>
    <xf numFmtId="0" fontId="94"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5" fillId="0" borderId="0" applyProtection="0"/>
    <xf numFmtId="0" fontId="94" fillId="0" borderId="0"/>
    <xf numFmtId="0" fontId="29" fillId="0" borderId="0"/>
    <xf numFmtId="223" fontId="94" fillId="0" borderId="0"/>
    <xf numFmtId="0" fontId="29" fillId="0" borderId="0"/>
    <xf numFmtId="223" fontId="94" fillId="0" borderId="0"/>
    <xf numFmtId="0" fontId="29" fillId="0" borderId="0"/>
    <xf numFmtId="0" fontId="29" fillId="0" borderId="0"/>
    <xf numFmtId="0" fontId="29" fillId="0" borderId="0"/>
    <xf numFmtId="0" fontId="29" fillId="0" borderId="0"/>
    <xf numFmtId="0" fontId="29" fillId="0" borderId="0"/>
    <xf numFmtId="0" fontId="29" fillId="0" borderId="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95" fillId="0" borderId="0">
      <alignment wrapText="1"/>
    </xf>
    <xf numFmtId="49" fontId="11" fillId="0" borderId="65" applyFill="0">
      <alignment horizontal="center" vertical="center" wrapText="1"/>
    </xf>
    <xf numFmtId="0" fontId="199" fillId="0" borderId="0">
      <alignment vertical="top"/>
    </xf>
    <xf numFmtId="0" fontId="191" fillId="0" borderId="0">
      <alignment horizontal="left" vertical="center" indent="1"/>
    </xf>
    <xf numFmtId="0" fontId="192" fillId="0" borderId="0">
      <alignment horizontal="left" vertical="center" indent="1"/>
    </xf>
    <xf numFmtId="0" fontId="192" fillId="0" borderId="0">
      <alignment horizontal="left" vertical="center" indent="1"/>
    </xf>
    <xf numFmtId="0" fontId="192"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3" fillId="0" borderId="0">
      <alignment horizontal="center"/>
    </xf>
    <xf numFmtId="237" fontId="253"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41" fontId="29"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25" fontId="254" fillId="0" borderId="86">
      <alignment horizontal="right" vertical="center"/>
    </xf>
    <xf numFmtId="229" fontId="254" fillId="0" borderId="86">
      <alignment horizontal="right" vertical="center"/>
    </xf>
    <xf numFmtId="224" fontId="255"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7"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95" fillId="0" borderId="0"/>
    <xf numFmtId="235" fontId="258" fillId="0" borderId="0" applyFont="0" applyFill="0" applyBorder="0" applyAlignment="0" applyProtection="0"/>
    <xf numFmtId="236" fontId="258" fillId="0" borderId="0" applyFont="0" applyFill="0" applyBorder="0" applyAlignment="0" applyProtection="0"/>
    <xf numFmtId="243" fontId="258" fillId="0" borderId="0" applyFont="0" applyFill="0" applyBorder="0" applyAlignment="0" applyProtection="0"/>
    <xf numFmtId="244" fontId="258" fillId="0" borderId="0" applyFont="0" applyFill="0" applyBorder="0" applyAlignment="0" applyProtection="0"/>
    <xf numFmtId="174" fontId="258"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65">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11" fillId="0" borderId="0" xfId="62" applyFont="1" applyBorder="1" applyAlignment="1">
      <alignment horizontal="left"/>
    </xf>
    <xf numFmtId="0" fontId="11" fillId="0" borderId="0" xfId="62" applyNumberFormat="1" applyFont="1" applyBorder="1" applyAlignment="1">
      <alignment horizontal="left" vertical="center"/>
    </xf>
    <xf numFmtId="0" fontId="11" fillId="0" borderId="0" xfId="62" applyNumberFormat="1" applyFont="1" applyBorder="1" applyAlignment="1">
      <alignment vertical="center"/>
    </xf>
    <xf numFmtId="0" fontId="11" fillId="0" borderId="0" xfId="62" applyNumberFormat="1" applyFont="1" applyBorder="1" applyAlignment="1">
      <alignment horizontal="left"/>
    </xf>
    <xf numFmtId="0" fontId="11" fillId="0" borderId="0" xfId="62" applyNumberFormat="1" applyFont="1" applyBorder="1" applyAlignment="1">
      <alignment vertical="top" wrapText="1"/>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5" fillId="0" borderId="0" xfId="72" applyFont="1" applyAlignment="1">
      <alignment horizontal="center"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92" fillId="29" borderId="0" xfId="2"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82" fillId="0" borderId="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11" fillId="0" borderId="1" xfId="62" applyFont="1" applyFill="1" applyBorder="1" applyAlignment="1">
      <alignment horizontal="center" vertical="center"/>
    </xf>
    <xf numFmtId="0" fontId="11" fillId="0" borderId="1" xfId="62" applyFont="1" applyFill="1" applyBorder="1" applyAlignment="1">
      <alignment horizontal="left" vertical="center" wrapText="1"/>
    </xf>
    <xf numFmtId="0" fontId="11" fillId="0" borderId="1" xfId="62" applyFont="1" applyFill="1" applyBorder="1" applyAlignment="1">
      <alignment horizontal="center" vertical="center" wrapText="1"/>
    </xf>
    <xf numFmtId="0" fontId="11" fillId="0" borderId="1" xfId="62" applyNumberFormat="1" applyFont="1" applyFill="1" applyBorder="1" applyAlignment="1">
      <alignment horizontal="center" vertical="center"/>
    </xf>
    <xf numFmtId="49" fontId="11" fillId="0" borderId="1" xfId="62" applyNumberFormat="1" applyFont="1" applyFill="1" applyBorder="1" applyAlignment="1">
      <alignment horizontal="left" vertical="center" wrapText="1"/>
    </xf>
    <xf numFmtId="0" fontId="45" fillId="0" borderId="1" xfId="62" applyFont="1" applyBorder="1" applyAlignment="1">
      <alignment horizontal="left"/>
    </xf>
    <xf numFmtId="49" fontId="11" fillId="0" borderId="1" xfId="62" applyNumberFormat="1" applyFont="1" applyFill="1" applyBorder="1" applyAlignment="1">
      <alignment horizontal="center"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49" fontId="11" fillId="0" borderId="0" xfId="62" applyNumberFormat="1" applyFont="1" applyBorder="1" applyAlignment="1">
      <alignment horizontal="left" vertical="top"/>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62524160"/>
        <c:axId val="162669312"/>
      </c:lineChart>
      <c:catAx>
        <c:axId val="162524160"/>
        <c:scaling>
          <c:orientation val="minMax"/>
        </c:scaling>
        <c:delete val="0"/>
        <c:axPos val="b"/>
        <c:numFmt formatCode="#,##0" sourceLinked="1"/>
        <c:majorTickMark val="out"/>
        <c:minorTickMark val="none"/>
        <c:tickLblPos val="nextTo"/>
        <c:crossAx val="162669312"/>
        <c:crosses val="autoZero"/>
        <c:auto val="1"/>
        <c:lblAlgn val="ctr"/>
        <c:lblOffset val="100"/>
        <c:noMultiLvlLbl val="0"/>
      </c:catAx>
      <c:valAx>
        <c:axId val="162669312"/>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2524160"/>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108858</xdr:rowOff>
    </xdr:from>
    <xdr:to>
      <xdr:col>10</xdr:col>
      <xdr:colOff>6</xdr:colOff>
      <xdr:row>15</xdr:row>
      <xdr:rowOff>54430</xdr:rowOff>
    </xdr:to>
    <xdr:sp macro="" textlink="">
      <xdr:nvSpPr>
        <xdr:cNvPr id="3" name="TextBox 2"/>
        <xdr:cNvSpPr txBox="1"/>
      </xdr:nvSpPr>
      <xdr:spPr>
        <a:xfrm>
          <a:off x="381006" y="3052083"/>
          <a:ext cx="14687550" cy="50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84972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58;&#1080;&#1084;&#1072;&#1077;&#1074;/&#1052;&#1040;&#1049;/&#1055;&#1057;%20110%20&#1082;&#1042;%20&#1040;&#1088;&#1090;&#1077;&#108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58;&#1080;&#1084;&#1072;&#1077;&#1074;/&#1052;&#1040;&#1049;/&#1055;&#1057;%20110%20&#1082;&#1042;%20&#1044;&#1072;&#1088;&#1089;&#1072;&#108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1048;&#1053;&#1042;&#1045;&#1057;&#1058;&#1048;&#1062;&#1048;&#1054;&#1053;&#1053;&#1067;&#1049;%20&#1055;&#1054;&#1056;&#1058;&#1060;&#1045;&#1051;&#1068;_2020&#1075;/&#1088;&#1072;&#1089;&#1095;&#1077;&#1090;_&#1101;&#1092;&#1092;&#1077;&#1082;&#1090;&#1080;&#1074;&#1085;&#1086;&#1089;&#1090;&#1080;/H_1111011_&#1055;&#1057;%20110%20&#1082;&#1042;%20&#1057;&#1077;&#1074;&#1077;&#1088;&#1085;&#1072;&#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етевой_объект"/>
      <sheetName val="2. Тех присоединение"/>
      <sheetName val="3.1. Техсостояние ПС"/>
      <sheetName val="3.2  Техсостояние ЛЭП"/>
      <sheetName val="3.3 описание"/>
      <sheetName val="3.4. надежность"/>
      <sheetName val="11.2"/>
      <sheetName val="11.3"/>
      <sheetName val="6.2.  фин осв ввод"/>
    </sheetNames>
    <sheetDataSet>
      <sheetData sheetId="0">
        <row r="7">
          <cell r="L7" t="str">
            <v>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v>
          </cell>
        </row>
      </sheetData>
      <sheetData sheetId="1"/>
      <sheetData sheetId="2"/>
      <sheetData sheetId="3"/>
      <sheetData sheetId="4"/>
      <sheetData sheetId="5"/>
      <sheetData sheetId="6"/>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етевой_объект"/>
      <sheetName val="2. Тех присоединение"/>
      <sheetName val="3.1. Техсостояние ПС"/>
      <sheetName val="3.2  Техсостояние ЛЭП"/>
      <sheetName val="3.3 описание"/>
      <sheetName val="3.4. надежность"/>
      <sheetName val="11.2"/>
      <sheetName val="11.3"/>
      <sheetName val="6.2.  фин осв ввод"/>
    </sheetNames>
    <sheetDataSet>
      <sheetData sheetId="0">
        <row r="7">
          <cell r="L7" t="str">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G5">
            <v>0</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zoomScale="85" zoomScaleSheetLayoutView="85" workbookViewId="0">
      <selection activeCell="D15" sqref="D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9" t="s">
        <v>443</v>
      </c>
      <c r="B5" s="449"/>
      <c r="C5" s="449"/>
      <c r="D5" s="118"/>
      <c r="E5" s="118"/>
      <c r="F5" s="118"/>
      <c r="G5" s="118"/>
      <c r="H5" s="118"/>
      <c r="I5" s="118"/>
      <c r="J5" s="118"/>
    </row>
    <row r="6" spans="1:22" s="11" customFormat="1" ht="18.75">
      <c r="A6" s="16"/>
      <c r="F6" s="15"/>
      <c r="G6" s="15"/>
      <c r="H6" s="14"/>
    </row>
    <row r="7" spans="1:22" s="11" customFormat="1" ht="18.75">
      <c r="A7" s="453" t="s">
        <v>8</v>
      </c>
      <c r="B7" s="453"/>
      <c r="C7" s="453"/>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2" t="s">
        <v>507</v>
      </c>
      <c r="B9" s="452"/>
      <c r="C9" s="452"/>
      <c r="D9" s="7"/>
      <c r="E9" s="7"/>
      <c r="F9" s="7"/>
      <c r="G9" s="7"/>
      <c r="H9" s="7"/>
      <c r="I9" s="12"/>
      <c r="J9" s="12"/>
      <c r="K9" s="12"/>
      <c r="L9" s="12"/>
      <c r="M9" s="12"/>
      <c r="N9" s="12"/>
      <c r="O9" s="12"/>
      <c r="P9" s="12"/>
      <c r="Q9" s="12"/>
      <c r="R9" s="12"/>
      <c r="S9" s="12"/>
      <c r="T9" s="12"/>
      <c r="U9" s="12"/>
      <c r="V9" s="12"/>
    </row>
    <row r="10" spans="1:22" s="11" customFormat="1" ht="18.75">
      <c r="A10" s="450" t="s">
        <v>7</v>
      </c>
      <c r="B10" s="450"/>
      <c r="C10" s="450"/>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2" t="s">
        <v>532</v>
      </c>
      <c r="B12" s="452"/>
      <c r="C12" s="452"/>
      <c r="D12" s="7"/>
      <c r="E12" s="7"/>
      <c r="F12" s="7"/>
      <c r="G12" s="7"/>
      <c r="H12" s="7"/>
      <c r="I12" s="12"/>
      <c r="J12" s="12"/>
      <c r="K12" s="12"/>
      <c r="L12" s="12"/>
      <c r="M12" s="12"/>
      <c r="N12" s="12"/>
      <c r="O12" s="12"/>
      <c r="P12" s="12"/>
      <c r="Q12" s="12"/>
      <c r="R12" s="12"/>
      <c r="S12" s="12"/>
      <c r="T12" s="12"/>
      <c r="U12" s="12"/>
      <c r="V12" s="12"/>
    </row>
    <row r="13" spans="1:22" s="11" customFormat="1" ht="18.75">
      <c r="A13" s="450" t="s">
        <v>6</v>
      </c>
      <c r="B13" s="450"/>
      <c r="C13" s="450"/>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1" t="s">
        <v>533</v>
      </c>
      <c r="B15" s="451"/>
      <c r="C15" s="451"/>
      <c r="D15" s="7"/>
      <c r="E15" s="7"/>
      <c r="F15" s="7"/>
      <c r="G15" s="7"/>
      <c r="H15" s="7"/>
      <c r="I15" s="7"/>
      <c r="J15" s="7"/>
      <c r="K15" s="7"/>
      <c r="L15" s="7"/>
      <c r="M15" s="7"/>
      <c r="N15" s="7"/>
      <c r="O15" s="7"/>
      <c r="P15" s="7"/>
      <c r="Q15" s="7"/>
      <c r="R15" s="7"/>
      <c r="S15" s="7"/>
      <c r="T15" s="7"/>
      <c r="U15" s="7"/>
      <c r="V15" s="7"/>
    </row>
    <row r="16" spans="1:22" s="3" customFormat="1" ht="15" customHeight="1">
      <c r="A16" s="450" t="s">
        <v>5</v>
      </c>
      <c r="B16" s="450"/>
      <c r="C16" s="450"/>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1" t="s">
        <v>412</v>
      </c>
      <c r="B18" s="452"/>
      <c r="C18" s="452"/>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83" t="s">
        <v>274</v>
      </c>
      <c r="C22" s="182" t="s">
        <v>534</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82" t="s">
        <v>535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6"/>
      <c r="B24" s="447"/>
      <c r="C24" s="448"/>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5" t="s">
        <v>365</v>
      </c>
      <c r="C25" s="32" t="s">
        <v>507</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5" t="s">
        <v>74</v>
      </c>
      <c r="C26" s="32" t="s">
        <v>457</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5" t="s">
        <v>73</v>
      </c>
      <c r="C27" s="32" t="s">
        <v>536</v>
      </c>
      <c r="D27" s="31"/>
      <c r="E27" s="31"/>
      <c r="F27" s="31"/>
      <c r="G27" s="31"/>
      <c r="H27" s="30"/>
      <c r="I27" s="30"/>
      <c r="J27" s="30"/>
      <c r="K27" s="30"/>
      <c r="L27" s="30"/>
      <c r="M27" s="30"/>
      <c r="N27" s="30"/>
      <c r="O27" s="30"/>
      <c r="P27" s="30"/>
      <c r="Q27" s="30"/>
      <c r="R27" s="30"/>
      <c r="S27" s="29"/>
      <c r="T27" s="29"/>
      <c r="U27" s="29"/>
      <c r="V27" s="29"/>
    </row>
    <row r="28" spans="1:22" s="207" customFormat="1" ht="27" customHeight="1">
      <c r="A28" s="22" t="s">
        <v>57</v>
      </c>
      <c r="B28" s="115" t="s">
        <v>366</v>
      </c>
      <c r="C28" s="32" t="s">
        <v>447</v>
      </c>
      <c r="D28" s="205"/>
      <c r="E28" s="205"/>
      <c r="F28" s="205"/>
      <c r="G28" s="205"/>
      <c r="H28" s="169"/>
      <c r="I28" s="169"/>
      <c r="J28" s="169"/>
      <c r="K28" s="169"/>
      <c r="L28" s="169"/>
      <c r="M28" s="169"/>
      <c r="N28" s="169"/>
      <c r="O28" s="169"/>
      <c r="P28" s="169"/>
      <c r="Q28" s="169"/>
      <c r="R28" s="169"/>
      <c r="S28" s="206"/>
      <c r="T28" s="206"/>
      <c r="U28" s="206"/>
      <c r="V28" s="206"/>
    </row>
    <row r="29" spans="1:22" s="207" customFormat="1" ht="37.5" customHeight="1">
      <c r="A29" s="22" t="s">
        <v>55</v>
      </c>
      <c r="B29" s="115" t="s">
        <v>367</v>
      </c>
      <c r="C29" s="32" t="s">
        <v>447</v>
      </c>
      <c r="D29" s="205"/>
      <c r="E29" s="205"/>
      <c r="F29" s="205"/>
      <c r="G29" s="205"/>
      <c r="H29" s="169"/>
      <c r="I29" s="169"/>
      <c r="J29" s="169"/>
      <c r="K29" s="169"/>
      <c r="L29" s="169"/>
      <c r="M29" s="169"/>
      <c r="N29" s="169"/>
      <c r="O29" s="169"/>
      <c r="P29" s="169"/>
      <c r="Q29" s="169"/>
      <c r="R29" s="169"/>
      <c r="S29" s="206"/>
      <c r="T29" s="206"/>
      <c r="U29" s="206"/>
      <c r="V29" s="206"/>
    </row>
    <row r="30" spans="1:22" s="207" customFormat="1" ht="39" customHeight="1">
      <c r="A30" s="22" t="s">
        <v>53</v>
      </c>
      <c r="B30" s="115" t="s">
        <v>368</v>
      </c>
      <c r="C30" s="32" t="s">
        <v>447</v>
      </c>
      <c r="D30" s="205"/>
      <c r="E30" s="205"/>
      <c r="F30" s="205"/>
      <c r="G30" s="205"/>
      <c r="H30" s="169"/>
      <c r="I30" s="169"/>
      <c r="J30" s="169"/>
      <c r="K30" s="169"/>
      <c r="L30" s="169"/>
      <c r="M30" s="169"/>
      <c r="N30" s="169"/>
      <c r="O30" s="169"/>
      <c r="P30" s="169"/>
      <c r="Q30" s="169"/>
      <c r="R30" s="169"/>
      <c r="S30" s="206"/>
      <c r="T30" s="206"/>
      <c r="U30" s="206"/>
      <c r="V30" s="206"/>
    </row>
    <row r="31" spans="1:22" s="187" customFormat="1" ht="27" customHeight="1">
      <c r="A31" s="313" t="s">
        <v>72</v>
      </c>
      <c r="B31" s="314" t="s">
        <v>369</v>
      </c>
      <c r="C31" s="316" t="s">
        <v>512</v>
      </c>
      <c r="D31" s="184"/>
      <c r="E31" s="184"/>
      <c r="F31" s="184"/>
      <c r="G31" s="184"/>
      <c r="H31" s="185"/>
      <c r="I31" s="185"/>
      <c r="J31" s="185"/>
      <c r="K31" s="185"/>
      <c r="L31" s="185"/>
      <c r="M31" s="185"/>
      <c r="N31" s="185"/>
      <c r="O31" s="185"/>
      <c r="P31" s="185"/>
      <c r="Q31" s="185"/>
      <c r="R31" s="185"/>
      <c r="S31" s="186"/>
      <c r="T31" s="186"/>
      <c r="U31" s="186"/>
      <c r="V31" s="186"/>
    </row>
    <row r="32" spans="1:22" s="187" customFormat="1" ht="33" customHeight="1">
      <c r="A32" s="313" t="s">
        <v>70</v>
      </c>
      <c r="B32" s="314" t="s">
        <v>370</v>
      </c>
      <c r="C32" s="316"/>
      <c r="D32" s="184"/>
      <c r="E32" s="184"/>
      <c r="F32" s="184"/>
      <c r="G32" s="184"/>
      <c r="H32" s="185"/>
      <c r="I32" s="185"/>
      <c r="J32" s="185"/>
      <c r="K32" s="185"/>
      <c r="L32" s="185"/>
      <c r="M32" s="185"/>
      <c r="N32" s="185"/>
      <c r="O32" s="185"/>
      <c r="P32" s="185"/>
      <c r="Q32" s="185"/>
      <c r="R32" s="185"/>
      <c r="S32" s="186"/>
      <c r="T32" s="186"/>
      <c r="U32" s="186"/>
      <c r="V32" s="186"/>
    </row>
    <row r="33" spans="1:22" s="28" customFormat="1" ht="57" customHeight="1">
      <c r="A33" s="22" t="s">
        <v>69</v>
      </c>
      <c r="B33" s="37" t="s">
        <v>371</v>
      </c>
      <c r="C33" s="111" t="s">
        <v>513</v>
      </c>
      <c r="D33" s="31"/>
      <c r="E33" s="31"/>
      <c r="F33" s="31"/>
      <c r="G33" s="31"/>
      <c r="H33" s="30"/>
      <c r="I33" s="30"/>
      <c r="J33" s="30"/>
      <c r="K33" s="30"/>
      <c r="L33" s="30"/>
      <c r="M33" s="30"/>
      <c r="N33" s="30"/>
      <c r="O33" s="30"/>
      <c r="P33" s="30"/>
      <c r="Q33" s="30"/>
      <c r="R33" s="30"/>
      <c r="S33" s="29"/>
      <c r="T33" s="29"/>
      <c r="U33" s="29"/>
      <c r="V33" s="29"/>
    </row>
    <row r="34" spans="1:22" ht="62.25" customHeight="1">
      <c r="A34" s="22" t="s">
        <v>383</v>
      </c>
      <c r="B34" s="37" t="s">
        <v>372</v>
      </c>
      <c r="C34" s="23" t="s">
        <v>447</v>
      </c>
      <c r="D34" s="21"/>
      <c r="E34" s="21"/>
      <c r="F34" s="21"/>
      <c r="G34" s="21"/>
      <c r="H34" s="21"/>
      <c r="I34" s="21"/>
      <c r="J34" s="21"/>
      <c r="K34" s="21"/>
      <c r="L34" s="21"/>
      <c r="M34" s="21"/>
      <c r="N34" s="21"/>
      <c r="O34" s="21"/>
      <c r="P34" s="21"/>
      <c r="Q34" s="21"/>
      <c r="R34" s="21"/>
      <c r="S34" s="21"/>
      <c r="T34" s="21"/>
      <c r="U34" s="21"/>
      <c r="V34" s="21"/>
    </row>
    <row r="35" spans="1:22" ht="41.25" customHeight="1">
      <c r="A35" s="22" t="s">
        <v>375</v>
      </c>
      <c r="B35" s="37" t="s">
        <v>71</v>
      </c>
      <c r="C35" s="23" t="s">
        <v>447</v>
      </c>
      <c r="D35" s="21"/>
      <c r="E35" s="21"/>
      <c r="F35" s="21"/>
      <c r="G35" s="21"/>
      <c r="H35" s="21"/>
      <c r="I35" s="21"/>
      <c r="J35" s="21"/>
      <c r="K35" s="21"/>
      <c r="L35" s="21"/>
      <c r="M35" s="21"/>
      <c r="N35" s="21"/>
      <c r="O35" s="21"/>
      <c r="P35" s="21"/>
      <c r="Q35" s="21"/>
      <c r="R35" s="21"/>
      <c r="S35" s="21"/>
      <c r="T35" s="21"/>
      <c r="U35" s="21"/>
      <c r="V35" s="21"/>
    </row>
    <row r="36" spans="1:22" s="189" customFormat="1" ht="30.75" customHeight="1">
      <c r="A36" s="22" t="s">
        <v>384</v>
      </c>
      <c r="B36" s="115" t="s">
        <v>373</v>
      </c>
      <c r="C36" s="32" t="s">
        <v>447</v>
      </c>
      <c r="D36" s="188"/>
      <c r="E36" s="188"/>
      <c r="F36" s="188"/>
      <c r="G36" s="188"/>
      <c r="H36" s="188"/>
      <c r="I36" s="188"/>
      <c r="J36" s="188"/>
      <c r="K36" s="188"/>
      <c r="L36" s="188"/>
      <c r="M36" s="188"/>
      <c r="N36" s="188"/>
      <c r="O36" s="188"/>
      <c r="P36" s="188"/>
      <c r="Q36" s="188"/>
      <c r="R36" s="188"/>
      <c r="S36" s="188"/>
      <c r="T36" s="188"/>
      <c r="U36" s="188"/>
      <c r="V36" s="188"/>
    </row>
    <row r="37" spans="1:22" s="189" customFormat="1" ht="28.5" customHeight="1">
      <c r="A37" s="22" t="s">
        <v>376</v>
      </c>
      <c r="B37" s="115" t="s">
        <v>374</v>
      </c>
      <c r="C37" s="32" t="s">
        <v>460</v>
      </c>
      <c r="D37" s="188"/>
      <c r="E37" s="188"/>
      <c r="F37" s="188"/>
      <c r="G37" s="188"/>
      <c r="H37" s="188"/>
      <c r="I37" s="188"/>
      <c r="J37" s="188"/>
      <c r="K37" s="188"/>
      <c r="L37" s="188"/>
      <c r="M37" s="188"/>
      <c r="N37" s="188"/>
      <c r="O37" s="188"/>
      <c r="P37" s="188"/>
      <c r="Q37" s="188"/>
      <c r="R37" s="188"/>
      <c r="S37" s="188"/>
      <c r="T37" s="188"/>
      <c r="U37" s="188"/>
      <c r="V37" s="188"/>
    </row>
    <row r="38" spans="1:22" s="189" customFormat="1" ht="33" customHeight="1">
      <c r="A38" s="22" t="s">
        <v>385</v>
      </c>
      <c r="B38" s="115" t="s">
        <v>219</v>
      </c>
      <c r="C38" s="32" t="s">
        <v>461</v>
      </c>
      <c r="D38" s="188"/>
      <c r="E38" s="188"/>
      <c r="F38" s="188"/>
      <c r="G38" s="188"/>
      <c r="H38" s="188"/>
      <c r="I38" s="188"/>
      <c r="J38" s="188"/>
      <c r="K38" s="188"/>
      <c r="L38" s="188"/>
      <c r="M38" s="188"/>
      <c r="N38" s="188"/>
      <c r="O38" s="188"/>
      <c r="P38" s="188"/>
      <c r="Q38" s="188"/>
      <c r="R38" s="188"/>
      <c r="S38" s="188"/>
      <c r="T38" s="188"/>
      <c r="U38" s="188"/>
      <c r="V38" s="188"/>
    </row>
    <row r="39" spans="1:22" ht="23.25" customHeight="1">
      <c r="A39" s="446"/>
      <c r="B39" s="447"/>
      <c r="C39" s="448"/>
      <c r="D39" s="21"/>
      <c r="E39" s="21"/>
      <c r="F39" s="21"/>
      <c r="G39" s="21"/>
      <c r="H39" s="21"/>
      <c r="I39" s="21"/>
      <c r="J39" s="21"/>
      <c r="K39" s="21"/>
      <c r="L39" s="21"/>
      <c r="M39" s="21"/>
      <c r="N39" s="21"/>
      <c r="O39" s="21"/>
      <c r="P39" s="21"/>
      <c r="Q39" s="21"/>
      <c r="R39" s="21"/>
      <c r="S39" s="21"/>
      <c r="T39" s="21"/>
      <c r="U39" s="21"/>
      <c r="V39" s="21"/>
    </row>
    <row r="40" spans="1:22" s="189" customFormat="1" ht="42" customHeight="1">
      <c r="A40" s="22" t="s">
        <v>377</v>
      </c>
      <c r="B40" s="115" t="s">
        <v>425</v>
      </c>
      <c r="C40" s="32" t="s">
        <v>537</v>
      </c>
      <c r="D40" s="188"/>
      <c r="E40" s="188"/>
      <c r="F40" s="188"/>
      <c r="G40" s="188"/>
      <c r="H40" s="188"/>
      <c r="I40" s="188"/>
      <c r="J40" s="188"/>
      <c r="K40" s="188"/>
      <c r="L40" s="188"/>
      <c r="M40" s="188"/>
      <c r="N40" s="188"/>
      <c r="O40" s="188"/>
      <c r="P40" s="188"/>
      <c r="Q40" s="188"/>
      <c r="R40" s="188"/>
      <c r="S40" s="188"/>
      <c r="T40" s="188"/>
      <c r="U40" s="188"/>
      <c r="V40" s="188"/>
    </row>
    <row r="41" spans="1:22" s="189" customFormat="1" ht="60.75" customHeight="1">
      <c r="A41" s="313" t="s">
        <v>386</v>
      </c>
      <c r="B41" s="314" t="s">
        <v>407</v>
      </c>
      <c r="C41" s="315"/>
      <c r="D41" s="188"/>
      <c r="E41" s="188"/>
      <c r="F41" s="188"/>
      <c r="G41" s="188"/>
      <c r="H41" s="188"/>
      <c r="I41" s="188"/>
      <c r="J41" s="188"/>
      <c r="K41" s="188"/>
      <c r="L41" s="188"/>
      <c r="M41" s="188"/>
      <c r="N41" s="188"/>
      <c r="O41" s="188"/>
      <c r="P41" s="188"/>
      <c r="Q41" s="188"/>
      <c r="R41" s="188"/>
      <c r="S41" s="188"/>
      <c r="T41" s="188"/>
      <c r="U41" s="188"/>
      <c r="V41" s="188"/>
    </row>
    <row r="42" spans="1:22" s="189" customFormat="1" ht="53.25" customHeight="1">
      <c r="A42" s="22" t="s">
        <v>378</v>
      </c>
      <c r="B42" s="115" t="s">
        <v>422</v>
      </c>
      <c r="C42" s="32" t="s">
        <v>514</v>
      </c>
      <c r="D42" s="188"/>
      <c r="E42" s="188"/>
      <c r="F42" s="188"/>
      <c r="G42" s="188"/>
      <c r="H42" s="188"/>
      <c r="I42" s="188"/>
      <c r="J42" s="188"/>
      <c r="K42" s="188"/>
      <c r="L42" s="188"/>
      <c r="M42" s="188"/>
      <c r="N42" s="188"/>
      <c r="O42" s="188"/>
      <c r="P42" s="188"/>
      <c r="Q42" s="188"/>
      <c r="R42" s="188"/>
      <c r="S42" s="188"/>
      <c r="T42" s="188"/>
      <c r="U42" s="188"/>
      <c r="V42" s="188"/>
    </row>
    <row r="43" spans="1:22" s="189" customFormat="1" ht="84" customHeight="1">
      <c r="A43" s="22" t="s">
        <v>389</v>
      </c>
      <c r="B43" s="115" t="s">
        <v>390</v>
      </c>
      <c r="C43" s="32" t="s">
        <v>459</v>
      </c>
      <c r="D43" s="188"/>
      <c r="E43" s="188"/>
      <c r="F43" s="188"/>
      <c r="G43" s="188"/>
      <c r="H43" s="188"/>
      <c r="I43" s="188"/>
      <c r="J43" s="188"/>
      <c r="K43" s="188"/>
      <c r="L43" s="188"/>
      <c r="M43" s="188"/>
      <c r="N43" s="188"/>
      <c r="O43" s="188"/>
      <c r="P43" s="188"/>
      <c r="Q43" s="188"/>
      <c r="R43" s="188"/>
      <c r="S43" s="188"/>
      <c r="T43" s="188"/>
      <c r="U43" s="188"/>
      <c r="V43" s="188"/>
    </row>
    <row r="44" spans="1:22" s="189" customFormat="1" ht="56.25" customHeight="1">
      <c r="A44" s="313" t="s">
        <v>379</v>
      </c>
      <c r="B44" s="314" t="s">
        <v>413</v>
      </c>
      <c r="C44" s="315"/>
      <c r="D44" s="188"/>
      <c r="E44" s="188"/>
      <c r="F44" s="188"/>
      <c r="G44" s="188"/>
      <c r="H44" s="188"/>
      <c r="I44" s="188"/>
      <c r="J44" s="188"/>
      <c r="K44" s="188"/>
      <c r="L44" s="188"/>
      <c r="M44" s="188"/>
      <c r="N44" s="188"/>
      <c r="O44" s="188"/>
      <c r="P44" s="188"/>
      <c r="Q44" s="188"/>
      <c r="R44" s="188"/>
      <c r="S44" s="188"/>
      <c r="T44" s="188"/>
      <c r="U44" s="188"/>
      <c r="V44" s="188"/>
    </row>
    <row r="45" spans="1:22" s="189" customFormat="1" ht="59.25" customHeight="1">
      <c r="A45" s="313" t="s">
        <v>408</v>
      </c>
      <c r="B45" s="314" t="s">
        <v>414</v>
      </c>
      <c r="C45" s="315"/>
      <c r="D45" s="188"/>
      <c r="E45" s="188"/>
      <c r="F45" s="188"/>
      <c r="G45" s="188"/>
      <c r="H45" s="188"/>
      <c r="I45" s="188"/>
      <c r="J45" s="188"/>
      <c r="K45" s="188"/>
      <c r="L45" s="188"/>
      <c r="M45" s="188"/>
      <c r="N45" s="188"/>
      <c r="O45" s="188"/>
      <c r="P45" s="188"/>
      <c r="Q45" s="188"/>
      <c r="R45" s="188"/>
      <c r="S45" s="188"/>
      <c r="T45" s="188"/>
      <c r="U45" s="188"/>
      <c r="V45" s="188"/>
    </row>
    <row r="46" spans="1:22" s="189" customFormat="1" ht="61.5" customHeight="1">
      <c r="A46" s="313" t="s">
        <v>380</v>
      </c>
      <c r="B46" s="314" t="s">
        <v>415</v>
      </c>
      <c r="C46" s="315"/>
      <c r="D46" s="188"/>
      <c r="E46" s="188"/>
      <c r="F46" s="188"/>
      <c r="G46" s="188"/>
      <c r="H46" s="188"/>
      <c r="I46" s="188"/>
      <c r="J46" s="188"/>
      <c r="K46" s="188"/>
      <c r="L46" s="188"/>
      <c r="M46" s="188"/>
      <c r="N46" s="188"/>
      <c r="O46" s="188"/>
      <c r="P46" s="188"/>
      <c r="Q46" s="188"/>
      <c r="R46" s="188"/>
      <c r="S46" s="188"/>
      <c r="T46" s="188"/>
      <c r="U46" s="188"/>
      <c r="V46" s="188"/>
    </row>
    <row r="47" spans="1:22" ht="18.75" customHeight="1">
      <c r="A47" s="446"/>
      <c r="B47" s="447"/>
      <c r="C47" s="448"/>
      <c r="D47" s="21"/>
      <c r="E47" s="21"/>
      <c r="F47" s="21"/>
      <c r="G47" s="21"/>
      <c r="H47" s="21"/>
      <c r="I47" s="21"/>
      <c r="J47" s="21"/>
      <c r="K47" s="21"/>
      <c r="L47" s="21"/>
      <c r="M47" s="21"/>
      <c r="N47" s="21"/>
      <c r="O47" s="21"/>
      <c r="P47" s="21"/>
      <c r="Q47" s="21"/>
      <c r="R47" s="21"/>
      <c r="S47" s="21"/>
      <c r="T47" s="21"/>
      <c r="U47" s="21"/>
      <c r="V47" s="21"/>
    </row>
    <row r="48" spans="1:22" ht="45" customHeight="1">
      <c r="A48" s="22" t="s">
        <v>409</v>
      </c>
      <c r="B48" s="115" t="s">
        <v>423</v>
      </c>
      <c r="C48" s="208" t="s">
        <v>538</v>
      </c>
      <c r="D48" s="21"/>
      <c r="E48" s="21"/>
      <c r="F48" s="21"/>
      <c r="G48" s="21"/>
      <c r="H48" s="21"/>
      <c r="I48" s="21"/>
      <c r="J48" s="21"/>
      <c r="K48" s="21"/>
      <c r="L48" s="21"/>
      <c r="M48" s="21"/>
      <c r="N48" s="21"/>
      <c r="O48" s="21"/>
      <c r="P48" s="21"/>
      <c r="Q48" s="21"/>
      <c r="R48" s="21"/>
      <c r="S48" s="21"/>
      <c r="T48" s="21"/>
      <c r="U48" s="21"/>
      <c r="V48" s="21"/>
    </row>
    <row r="49" spans="1:22" ht="49.5" customHeight="1">
      <c r="A49" s="22" t="s">
        <v>381</v>
      </c>
      <c r="B49" s="115" t="s">
        <v>424</v>
      </c>
      <c r="C49" s="208" t="s">
        <v>539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I45" activePane="bottomRight" state="frozen"/>
      <selection pane="topRight" activeCell="E1" sqref="E1"/>
      <selection pane="bottomLeft" activeCell="A24" sqref="A24"/>
      <selection pane="bottomRight" activeCell="AF40" sqref="AF40"/>
    </sheetView>
  </sheetViews>
  <sheetFormatPr defaultRowHeight="15.75"/>
  <cols>
    <col min="1" max="1" width="9.140625" style="53"/>
    <col min="2" max="2" width="69" style="53" customWidth="1"/>
    <col min="3" max="3" width="26.42578125" style="53" customWidth="1"/>
    <col min="4" max="4" width="24.140625" style="53" customWidth="1"/>
    <col min="5" max="5" width="20.42578125" style="53" customWidth="1"/>
    <col min="6" max="6" width="18.7109375" style="53" customWidth="1"/>
    <col min="7" max="7" width="22.5703125" style="54" customWidth="1"/>
    <col min="8" max="8" width="14.7109375" style="54" customWidth="1"/>
    <col min="9" max="10" width="10.7109375" style="54" customWidth="1"/>
    <col min="11" max="11" width="12.85546875" style="54" customWidth="1"/>
    <col min="12" max="12" width="10.7109375" style="54" customWidth="1"/>
    <col min="13" max="13" width="16.140625" style="54" customWidth="1"/>
    <col min="14" max="14" width="10.7109375" style="54" customWidth="1"/>
    <col min="15" max="15" width="14.28515625" style="54" customWidth="1"/>
    <col min="16" max="17" width="10.7109375" style="54" customWidth="1"/>
    <col min="18" max="18" width="17.28515625" style="53" customWidth="1"/>
    <col min="19" max="20" width="10.7109375" style="53" customWidth="1"/>
    <col min="21" max="21" width="15.7109375" style="53" customWidth="1"/>
    <col min="22" max="22" width="15" style="53" customWidth="1"/>
    <col min="23" max="27" width="10.7109375" style="53" customWidth="1"/>
    <col min="28" max="28" width="13.5703125" style="53" customWidth="1"/>
    <col min="29" max="29" width="11.85546875" style="53" customWidth="1"/>
    <col min="30" max="31" width="10.7109375" style="53" customWidth="1"/>
    <col min="32" max="32" width="13.28515625" style="53" customWidth="1"/>
    <col min="33" max="37" width="10.7109375" style="53" customWidth="1"/>
    <col min="38" max="38" width="16.140625" style="53" hidden="1" customWidth="1"/>
    <col min="39" max="39" width="10.7109375" style="53" hidden="1" customWidth="1"/>
    <col min="40" max="40" width="16.140625" style="53" hidden="1" customWidth="1"/>
    <col min="41" max="41" width="10.7109375" style="53" hidden="1" customWidth="1"/>
    <col min="42" max="42" width="17.28515625" style="53" hidden="1" customWidth="1"/>
    <col min="43" max="43" width="15" style="53" hidden="1" customWidth="1"/>
    <col min="44" max="45" width="10.7109375" style="53" hidden="1" customWidth="1"/>
    <col min="46" max="46" width="16.140625" style="53" hidden="1" customWidth="1"/>
    <col min="47" max="57" width="10.7109375" style="53" hidden="1" customWidth="1"/>
    <col min="58" max="58" width="24.42578125" style="53" customWidth="1"/>
    <col min="59" max="59" width="26.85546875" style="53" customWidth="1"/>
    <col min="60" max="16384" width="9.140625" style="53"/>
  </cols>
  <sheetData>
    <row r="1" spans="1:59" ht="18.75">
      <c r="A1" s="54"/>
      <c r="B1" s="54"/>
      <c r="C1" s="54"/>
      <c r="D1" s="54"/>
      <c r="E1" s="54"/>
      <c r="F1" s="54"/>
      <c r="R1" s="54"/>
      <c r="S1" s="54"/>
      <c r="T1" s="54"/>
      <c r="U1" s="54"/>
      <c r="V1" s="54"/>
      <c r="AB1" s="54"/>
      <c r="AC1" s="54"/>
      <c r="AD1" s="54"/>
      <c r="AE1" s="54"/>
      <c r="AF1" s="54"/>
      <c r="AL1" s="54"/>
      <c r="AM1" s="54"/>
      <c r="AN1" s="54"/>
      <c r="AO1" s="54"/>
      <c r="AP1" s="54"/>
      <c r="AV1" s="54"/>
      <c r="AW1" s="54"/>
      <c r="AX1" s="54"/>
      <c r="AY1" s="54"/>
      <c r="AZ1" s="54"/>
      <c r="BG1" s="36" t="s">
        <v>68</v>
      </c>
    </row>
    <row r="2" spans="1:59" ht="18.75">
      <c r="A2" s="54"/>
      <c r="B2" s="54"/>
      <c r="C2" s="54"/>
      <c r="D2" s="54"/>
      <c r="E2" s="54"/>
      <c r="F2" s="54"/>
      <c r="R2" s="54"/>
      <c r="S2" s="54"/>
      <c r="T2" s="54"/>
      <c r="U2" s="54"/>
      <c r="V2" s="54"/>
      <c r="AB2" s="54"/>
      <c r="AC2" s="54"/>
      <c r="AD2" s="54"/>
      <c r="AE2" s="54"/>
      <c r="AF2" s="54"/>
      <c r="AL2" s="54"/>
      <c r="AM2" s="54"/>
      <c r="AN2" s="54"/>
      <c r="AO2" s="54"/>
      <c r="AP2" s="54"/>
      <c r="AV2" s="54"/>
      <c r="AW2" s="54"/>
      <c r="AX2" s="54"/>
      <c r="AY2" s="54"/>
      <c r="AZ2" s="54"/>
      <c r="BG2" s="14" t="s">
        <v>9</v>
      </c>
    </row>
    <row r="3" spans="1:59" ht="18.75">
      <c r="A3" s="54"/>
      <c r="B3" s="54"/>
      <c r="C3" s="54"/>
      <c r="D3" s="54"/>
      <c r="E3" s="54"/>
      <c r="F3" s="54"/>
      <c r="R3" s="54"/>
      <c r="S3" s="54"/>
      <c r="T3" s="54"/>
      <c r="U3" s="54"/>
      <c r="V3" s="54"/>
      <c r="AB3" s="54"/>
      <c r="AC3" s="54"/>
      <c r="AD3" s="54"/>
      <c r="AE3" s="54"/>
      <c r="AF3" s="54"/>
      <c r="AL3" s="54"/>
      <c r="AM3" s="54"/>
      <c r="AN3" s="54"/>
      <c r="AO3" s="54"/>
      <c r="AP3" s="54"/>
      <c r="AV3" s="54"/>
      <c r="AW3" s="54"/>
      <c r="AX3" s="54"/>
      <c r="AY3" s="54"/>
      <c r="AZ3" s="54"/>
      <c r="BG3" s="14" t="s">
        <v>67</v>
      </c>
    </row>
    <row r="4" spans="1:59" ht="18.75" customHeight="1">
      <c r="A4" s="528" t="str">
        <f>'1. паспорт местоположение'!A5:C5</f>
        <v>Год раскрытия информации: 2020 год</v>
      </c>
      <c r="B4" s="528"/>
      <c r="C4" s="528"/>
      <c r="D4" s="528"/>
      <c r="E4" s="528"/>
      <c r="F4" s="528"/>
      <c r="G4" s="528"/>
      <c r="H4" s="528"/>
      <c r="I4" s="528"/>
      <c r="J4" s="528"/>
      <c r="K4" s="528"/>
      <c r="L4" s="528"/>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8"/>
      <c r="BC4" s="528"/>
      <c r="BD4" s="528"/>
      <c r="BE4" s="528"/>
      <c r="BF4" s="528"/>
      <c r="BG4" s="528"/>
    </row>
    <row r="5" spans="1:59" ht="18.75">
      <c r="A5" s="54"/>
      <c r="B5" s="54"/>
      <c r="C5" s="54"/>
      <c r="D5" s="54"/>
      <c r="E5" s="54"/>
      <c r="F5" s="54"/>
      <c r="R5" s="54"/>
      <c r="S5" s="54"/>
      <c r="T5" s="54"/>
      <c r="U5" s="54"/>
      <c r="V5" s="54"/>
      <c r="AB5" s="54"/>
      <c r="AC5" s="54"/>
      <c r="AD5" s="54"/>
      <c r="AE5" s="54"/>
      <c r="AF5" s="54"/>
      <c r="AL5" s="54"/>
      <c r="AM5" s="54"/>
      <c r="AN5" s="54"/>
      <c r="AO5" s="54"/>
      <c r="AP5" s="54"/>
      <c r="AV5" s="54"/>
      <c r="AW5" s="54"/>
      <c r="AX5" s="54"/>
      <c r="AY5" s="54"/>
      <c r="AZ5" s="54"/>
      <c r="BG5" s="14"/>
    </row>
    <row r="6" spans="1:59" ht="20.25">
      <c r="A6" s="529" t="s">
        <v>8</v>
      </c>
      <c r="B6" s="529"/>
      <c r="C6" s="529"/>
      <c r="D6" s="529"/>
      <c r="E6" s="529"/>
      <c r="F6" s="529"/>
      <c r="G6" s="529"/>
      <c r="H6" s="529"/>
      <c r="I6" s="529"/>
      <c r="J6" s="529"/>
      <c r="K6" s="529"/>
      <c r="L6" s="529"/>
      <c r="M6" s="529"/>
      <c r="N6" s="529"/>
      <c r="O6" s="529"/>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29"/>
      <c r="AX6" s="529"/>
      <c r="AY6" s="529"/>
      <c r="AZ6" s="529"/>
      <c r="BA6" s="529"/>
      <c r="BB6" s="529"/>
      <c r="BC6" s="529"/>
      <c r="BD6" s="529"/>
      <c r="BE6" s="529"/>
      <c r="BF6" s="529"/>
      <c r="BG6" s="529"/>
    </row>
    <row r="7" spans="1:59" ht="18.75">
      <c r="A7" s="12"/>
      <c r="B7" s="12"/>
      <c r="C7" s="12"/>
      <c r="D7" s="12"/>
      <c r="E7" s="12"/>
      <c r="F7" s="12"/>
      <c r="G7" s="12"/>
      <c r="H7" s="12"/>
      <c r="I7" s="12"/>
      <c r="J7" s="112"/>
      <c r="K7" s="112"/>
      <c r="L7" s="112"/>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row>
    <row r="8" spans="1:59" ht="20.25">
      <c r="A8" s="475" t="str">
        <f>'1. паспорт местоположение'!A9:C9</f>
        <v>АО "Крымэнерго"</v>
      </c>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c r="AK8" s="475"/>
      <c r="AL8" s="475"/>
      <c r="AM8" s="475"/>
      <c r="AN8" s="475"/>
      <c r="AO8" s="475"/>
      <c r="AP8" s="475"/>
      <c r="AQ8" s="475"/>
      <c r="AR8" s="475"/>
      <c r="AS8" s="475"/>
      <c r="AT8" s="475"/>
      <c r="AU8" s="475"/>
      <c r="AV8" s="475"/>
      <c r="AW8" s="475"/>
      <c r="AX8" s="475"/>
      <c r="AY8" s="475"/>
      <c r="AZ8" s="475"/>
      <c r="BA8" s="475"/>
      <c r="BB8" s="475"/>
      <c r="BC8" s="475"/>
      <c r="BD8" s="475"/>
      <c r="BE8" s="475"/>
      <c r="BF8" s="475"/>
      <c r="BG8" s="475"/>
    </row>
    <row r="9" spans="1:59" ht="18.75" customHeight="1">
      <c r="A9" s="450" t="s">
        <v>7</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row>
    <row r="10" spans="1:59" ht="18.75">
      <c r="A10" s="12"/>
      <c r="B10" s="12"/>
      <c r="C10" s="12"/>
      <c r="D10" s="12"/>
      <c r="E10" s="12"/>
      <c r="F10" s="12"/>
      <c r="G10" s="12"/>
      <c r="H10" s="12"/>
      <c r="I10" s="12"/>
      <c r="J10" s="112"/>
      <c r="K10" s="112"/>
      <c r="L10" s="112"/>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row>
    <row r="11" spans="1:59" ht="20.25">
      <c r="A11" s="475" t="str">
        <f>'1. паспорт местоположение'!A12:C12</f>
        <v>K_1101004</v>
      </c>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row>
    <row r="12" spans="1:59">
      <c r="A12" s="450" t="s">
        <v>6</v>
      </c>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row>
    <row r="13" spans="1:59" ht="16.5" customHeight="1">
      <c r="A13" s="10"/>
      <c r="B13" s="10"/>
      <c r="C13" s="10"/>
      <c r="D13" s="10"/>
      <c r="E13" s="10"/>
      <c r="F13" s="10"/>
      <c r="G13" s="10"/>
      <c r="H13" s="10"/>
      <c r="I13" s="10"/>
      <c r="J13" s="10"/>
      <c r="K13" s="10"/>
      <c r="L13" s="1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row>
    <row r="14" spans="1:59" ht="20.25">
      <c r="A14" s="475" t="str">
        <f>'1. паспорт местоположение'!A15:C15</f>
        <v>Реконструкция ПС 110 кВ "Артек" с заменой силовых трансформаторов  и расширением РУ 10 кВ  на 4 линейных ячеек.</v>
      </c>
      <c r="B14" s="475"/>
      <c r="C14" s="475"/>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c r="BB14" s="475"/>
      <c r="BC14" s="475"/>
      <c r="BD14" s="475"/>
      <c r="BE14" s="475"/>
      <c r="BF14" s="475"/>
      <c r="BG14" s="475"/>
    </row>
    <row r="15" spans="1:59" ht="15.75" customHeight="1">
      <c r="A15" s="450" t="s">
        <v>5</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row>
    <row r="16" spans="1:59">
      <c r="A16" s="530"/>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row>
    <row r="17" spans="1:62">
      <c r="A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row>
    <row r="18" spans="1:62" ht="20.25">
      <c r="A18" s="532" t="s">
        <v>397</v>
      </c>
      <c r="B18" s="532"/>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row>
    <row r="19" spans="1:62" ht="16.5" thickBot="1">
      <c r="A19" s="54"/>
      <c r="B19" s="54"/>
      <c r="C19" s="54"/>
      <c r="D19" s="54"/>
      <c r="E19" s="54"/>
      <c r="F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row>
    <row r="20" spans="1:62" ht="33" customHeight="1" thickBot="1">
      <c r="A20" s="521" t="s">
        <v>175</v>
      </c>
      <c r="B20" s="521" t="s">
        <v>174</v>
      </c>
      <c r="C20" s="521" t="s">
        <v>173</v>
      </c>
      <c r="D20" s="521"/>
      <c r="E20" s="531" t="s">
        <v>172</v>
      </c>
      <c r="F20" s="531"/>
      <c r="G20" s="522" t="s">
        <v>509</v>
      </c>
      <c r="H20" s="523" t="s">
        <v>446</v>
      </c>
      <c r="I20" s="523"/>
      <c r="J20" s="523"/>
      <c r="K20" s="523"/>
      <c r="L20" s="523"/>
      <c r="M20" s="523"/>
      <c r="N20" s="523"/>
      <c r="O20" s="523"/>
      <c r="P20" s="523"/>
      <c r="Q20" s="523"/>
      <c r="R20" s="523" t="s">
        <v>442</v>
      </c>
      <c r="S20" s="523"/>
      <c r="T20" s="523"/>
      <c r="U20" s="523"/>
      <c r="V20" s="523"/>
      <c r="W20" s="523"/>
      <c r="X20" s="523"/>
      <c r="Y20" s="523"/>
      <c r="Z20" s="523"/>
      <c r="AA20" s="523"/>
      <c r="AB20" s="523" t="s">
        <v>452</v>
      </c>
      <c r="AC20" s="523"/>
      <c r="AD20" s="523"/>
      <c r="AE20" s="523"/>
      <c r="AF20" s="523"/>
      <c r="AG20" s="523"/>
      <c r="AH20" s="523"/>
      <c r="AI20" s="523"/>
      <c r="AJ20" s="523"/>
      <c r="AK20" s="523"/>
      <c r="AL20" s="523" t="s">
        <v>453</v>
      </c>
      <c r="AM20" s="523"/>
      <c r="AN20" s="523"/>
      <c r="AO20" s="523"/>
      <c r="AP20" s="523"/>
      <c r="AQ20" s="523"/>
      <c r="AR20" s="523"/>
      <c r="AS20" s="523"/>
      <c r="AT20" s="523"/>
      <c r="AU20" s="523"/>
      <c r="AV20" s="523" t="s">
        <v>454</v>
      </c>
      <c r="AW20" s="523"/>
      <c r="AX20" s="523"/>
      <c r="AY20" s="523"/>
      <c r="AZ20" s="523"/>
      <c r="BA20" s="523"/>
      <c r="BB20" s="523"/>
      <c r="BC20" s="523"/>
      <c r="BD20" s="523"/>
      <c r="BE20" s="523"/>
      <c r="BF20" s="533" t="s">
        <v>171</v>
      </c>
      <c r="BG20" s="534"/>
      <c r="BH20" s="66"/>
      <c r="BI20" s="66"/>
      <c r="BJ20" s="66"/>
    </row>
    <row r="21" spans="1:62" ht="99.75" customHeight="1" thickBot="1">
      <c r="A21" s="521"/>
      <c r="B21" s="521"/>
      <c r="C21" s="521"/>
      <c r="D21" s="521"/>
      <c r="E21" s="531"/>
      <c r="F21" s="531"/>
      <c r="G21" s="522"/>
      <c r="H21" s="521" t="s">
        <v>3</v>
      </c>
      <c r="I21" s="521"/>
      <c r="J21" s="521"/>
      <c r="K21" s="521"/>
      <c r="L21" s="521"/>
      <c r="M21" s="521" t="s">
        <v>170</v>
      </c>
      <c r="N21" s="521"/>
      <c r="O21" s="521"/>
      <c r="P21" s="521"/>
      <c r="Q21" s="521"/>
      <c r="R21" s="521" t="s">
        <v>3</v>
      </c>
      <c r="S21" s="521"/>
      <c r="T21" s="521"/>
      <c r="U21" s="521"/>
      <c r="V21" s="521"/>
      <c r="W21" s="521" t="s">
        <v>170</v>
      </c>
      <c r="X21" s="521"/>
      <c r="Y21" s="521"/>
      <c r="Z21" s="521"/>
      <c r="AA21" s="521"/>
      <c r="AB21" s="521" t="s">
        <v>3</v>
      </c>
      <c r="AC21" s="521"/>
      <c r="AD21" s="521"/>
      <c r="AE21" s="521"/>
      <c r="AF21" s="521"/>
      <c r="AG21" s="521" t="s">
        <v>170</v>
      </c>
      <c r="AH21" s="521"/>
      <c r="AI21" s="521"/>
      <c r="AJ21" s="521"/>
      <c r="AK21" s="521"/>
      <c r="AL21" s="521" t="s">
        <v>3</v>
      </c>
      <c r="AM21" s="521"/>
      <c r="AN21" s="521"/>
      <c r="AO21" s="521"/>
      <c r="AP21" s="521"/>
      <c r="AQ21" s="521" t="s">
        <v>170</v>
      </c>
      <c r="AR21" s="521"/>
      <c r="AS21" s="521"/>
      <c r="AT21" s="521"/>
      <c r="AU21" s="521"/>
      <c r="AV21" s="521" t="s">
        <v>3</v>
      </c>
      <c r="AW21" s="521"/>
      <c r="AX21" s="521"/>
      <c r="AY21" s="521"/>
      <c r="AZ21" s="521"/>
      <c r="BA21" s="521" t="s">
        <v>170</v>
      </c>
      <c r="BB21" s="521"/>
      <c r="BC21" s="521"/>
      <c r="BD21" s="521"/>
      <c r="BE21" s="521"/>
      <c r="BF21" s="533"/>
      <c r="BG21" s="534"/>
    </row>
    <row r="22" spans="1:62" ht="114.75" customHeight="1" thickBot="1">
      <c r="A22" s="521"/>
      <c r="B22" s="521"/>
      <c r="C22" s="214" t="s">
        <v>3</v>
      </c>
      <c r="D22" s="214" t="s">
        <v>168</v>
      </c>
      <c r="E22" s="215" t="s">
        <v>455</v>
      </c>
      <c r="F22" s="215" t="s">
        <v>456</v>
      </c>
      <c r="G22" s="522"/>
      <c r="H22" s="216" t="s">
        <v>382</v>
      </c>
      <c r="I22" s="216" t="s">
        <v>448</v>
      </c>
      <c r="J22" s="216" t="s">
        <v>449</v>
      </c>
      <c r="K22" s="216" t="s">
        <v>450</v>
      </c>
      <c r="L22" s="216" t="s">
        <v>451</v>
      </c>
      <c r="M22" s="216" t="s">
        <v>382</v>
      </c>
      <c r="N22" s="216" t="s">
        <v>448</v>
      </c>
      <c r="O22" s="216" t="s">
        <v>449</v>
      </c>
      <c r="P22" s="216" t="s">
        <v>450</v>
      </c>
      <c r="Q22" s="216" t="s">
        <v>451</v>
      </c>
      <c r="R22" s="216" t="s">
        <v>382</v>
      </c>
      <c r="S22" s="216" t="s">
        <v>448</v>
      </c>
      <c r="T22" s="216" t="s">
        <v>449</v>
      </c>
      <c r="U22" s="216" t="s">
        <v>450</v>
      </c>
      <c r="V22" s="216" t="s">
        <v>451</v>
      </c>
      <c r="W22" s="216" t="s">
        <v>382</v>
      </c>
      <c r="X22" s="216" t="s">
        <v>448</v>
      </c>
      <c r="Y22" s="216" t="s">
        <v>449</v>
      </c>
      <c r="Z22" s="216" t="s">
        <v>450</v>
      </c>
      <c r="AA22" s="216" t="s">
        <v>451</v>
      </c>
      <c r="AB22" s="216" t="s">
        <v>382</v>
      </c>
      <c r="AC22" s="216" t="s">
        <v>448</v>
      </c>
      <c r="AD22" s="216" t="s">
        <v>449</v>
      </c>
      <c r="AE22" s="216" t="s">
        <v>450</v>
      </c>
      <c r="AF22" s="216" t="s">
        <v>451</v>
      </c>
      <c r="AG22" s="216" t="s">
        <v>382</v>
      </c>
      <c r="AH22" s="216" t="s">
        <v>448</v>
      </c>
      <c r="AI22" s="216" t="s">
        <v>449</v>
      </c>
      <c r="AJ22" s="216" t="s">
        <v>450</v>
      </c>
      <c r="AK22" s="216" t="s">
        <v>451</v>
      </c>
      <c r="AL22" s="216" t="s">
        <v>382</v>
      </c>
      <c r="AM22" s="216" t="s">
        <v>448</v>
      </c>
      <c r="AN22" s="216" t="s">
        <v>449</v>
      </c>
      <c r="AO22" s="216" t="s">
        <v>450</v>
      </c>
      <c r="AP22" s="216" t="s">
        <v>451</v>
      </c>
      <c r="AQ22" s="216" t="s">
        <v>382</v>
      </c>
      <c r="AR22" s="216" t="s">
        <v>448</v>
      </c>
      <c r="AS22" s="216" t="s">
        <v>449</v>
      </c>
      <c r="AT22" s="216" t="s">
        <v>450</v>
      </c>
      <c r="AU22" s="216" t="s">
        <v>451</v>
      </c>
      <c r="AV22" s="216" t="s">
        <v>382</v>
      </c>
      <c r="AW22" s="216" t="s">
        <v>448</v>
      </c>
      <c r="AX22" s="216" t="s">
        <v>449</v>
      </c>
      <c r="AY22" s="216" t="s">
        <v>450</v>
      </c>
      <c r="AZ22" s="216" t="s">
        <v>451</v>
      </c>
      <c r="BA22" s="216" t="s">
        <v>382</v>
      </c>
      <c r="BB22" s="216" t="s">
        <v>448</v>
      </c>
      <c r="BC22" s="216" t="s">
        <v>449</v>
      </c>
      <c r="BD22" s="216" t="s">
        <v>450</v>
      </c>
      <c r="BE22" s="216" t="s">
        <v>451</v>
      </c>
      <c r="BF22" s="262" t="s">
        <v>169</v>
      </c>
      <c r="BG22" s="214" t="s">
        <v>168</v>
      </c>
    </row>
    <row r="23" spans="1:62" ht="31.5" customHeight="1" thickBot="1">
      <c r="A23" s="233">
        <v>1</v>
      </c>
      <c r="B23" s="233">
        <v>2</v>
      </c>
      <c r="C23" s="233">
        <v>3</v>
      </c>
      <c r="D23" s="233">
        <v>4</v>
      </c>
      <c r="E23" s="233">
        <f>D23+1</f>
        <v>5</v>
      </c>
      <c r="F23" s="233">
        <f t="shared" ref="F23:BG23" si="0">E23+1</f>
        <v>6</v>
      </c>
      <c r="G23" s="234">
        <f t="shared" si="0"/>
        <v>7</v>
      </c>
      <c r="H23" s="233">
        <f t="shared" si="0"/>
        <v>8</v>
      </c>
      <c r="I23" s="233">
        <f t="shared" si="0"/>
        <v>9</v>
      </c>
      <c r="J23" s="233">
        <f t="shared" si="0"/>
        <v>10</v>
      </c>
      <c r="K23" s="233">
        <f t="shared" si="0"/>
        <v>11</v>
      </c>
      <c r="L23" s="233">
        <f t="shared" si="0"/>
        <v>12</v>
      </c>
      <c r="M23" s="233">
        <f t="shared" si="0"/>
        <v>13</v>
      </c>
      <c r="N23" s="233">
        <f t="shared" si="0"/>
        <v>14</v>
      </c>
      <c r="O23" s="233">
        <f t="shared" si="0"/>
        <v>15</v>
      </c>
      <c r="P23" s="233">
        <f t="shared" si="0"/>
        <v>16</v>
      </c>
      <c r="Q23" s="233">
        <f t="shared" si="0"/>
        <v>17</v>
      </c>
      <c r="R23" s="233">
        <f t="shared" si="0"/>
        <v>18</v>
      </c>
      <c r="S23" s="233">
        <f t="shared" si="0"/>
        <v>19</v>
      </c>
      <c r="T23" s="233">
        <f t="shared" si="0"/>
        <v>20</v>
      </c>
      <c r="U23" s="233">
        <f t="shared" si="0"/>
        <v>21</v>
      </c>
      <c r="V23" s="233">
        <f t="shared" si="0"/>
        <v>22</v>
      </c>
      <c r="W23" s="233">
        <f t="shared" si="0"/>
        <v>23</v>
      </c>
      <c r="X23" s="233">
        <f t="shared" si="0"/>
        <v>24</v>
      </c>
      <c r="Y23" s="233">
        <f t="shared" si="0"/>
        <v>25</v>
      </c>
      <c r="Z23" s="233">
        <f t="shared" si="0"/>
        <v>26</v>
      </c>
      <c r="AA23" s="233">
        <f t="shared" si="0"/>
        <v>27</v>
      </c>
      <c r="AB23" s="233">
        <f t="shared" si="0"/>
        <v>28</v>
      </c>
      <c r="AC23" s="233">
        <f t="shared" si="0"/>
        <v>29</v>
      </c>
      <c r="AD23" s="233">
        <f t="shared" si="0"/>
        <v>30</v>
      </c>
      <c r="AE23" s="233">
        <f t="shared" si="0"/>
        <v>31</v>
      </c>
      <c r="AF23" s="233">
        <f t="shared" si="0"/>
        <v>32</v>
      </c>
      <c r="AG23" s="233">
        <f t="shared" si="0"/>
        <v>33</v>
      </c>
      <c r="AH23" s="233">
        <f t="shared" si="0"/>
        <v>34</v>
      </c>
      <c r="AI23" s="233">
        <f t="shared" si="0"/>
        <v>35</v>
      </c>
      <c r="AJ23" s="233">
        <f t="shared" si="0"/>
        <v>36</v>
      </c>
      <c r="AK23" s="233">
        <f t="shared" si="0"/>
        <v>37</v>
      </c>
      <c r="AL23" s="233">
        <f t="shared" si="0"/>
        <v>38</v>
      </c>
      <c r="AM23" s="233">
        <f t="shared" si="0"/>
        <v>39</v>
      </c>
      <c r="AN23" s="233">
        <f t="shared" si="0"/>
        <v>40</v>
      </c>
      <c r="AO23" s="233">
        <f t="shared" si="0"/>
        <v>41</v>
      </c>
      <c r="AP23" s="233">
        <f t="shared" si="0"/>
        <v>42</v>
      </c>
      <c r="AQ23" s="233">
        <f t="shared" si="0"/>
        <v>43</v>
      </c>
      <c r="AR23" s="233">
        <f t="shared" si="0"/>
        <v>44</v>
      </c>
      <c r="AS23" s="233">
        <f t="shared" si="0"/>
        <v>45</v>
      </c>
      <c r="AT23" s="233">
        <f t="shared" si="0"/>
        <v>46</v>
      </c>
      <c r="AU23" s="233">
        <f t="shared" si="0"/>
        <v>47</v>
      </c>
      <c r="AV23" s="233">
        <f t="shared" si="0"/>
        <v>48</v>
      </c>
      <c r="AW23" s="233">
        <f t="shared" si="0"/>
        <v>49</v>
      </c>
      <c r="AX23" s="233">
        <f t="shared" si="0"/>
        <v>50</v>
      </c>
      <c r="AY23" s="233">
        <f t="shared" si="0"/>
        <v>51</v>
      </c>
      <c r="AZ23" s="233">
        <f t="shared" si="0"/>
        <v>52</v>
      </c>
      <c r="BA23" s="233">
        <f t="shared" si="0"/>
        <v>53</v>
      </c>
      <c r="BB23" s="233">
        <f t="shared" si="0"/>
        <v>54</v>
      </c>
      <c r="BC23" s="233">
        <f t="shared" si="0"/>
        <v>55</v>
      </c>
      <c r="BD23" s="233">
        <f t="shared" si="0"/>
        <v>56</v>
      </c>
      <c r="BE23" s="233">
        <f t="shared" si="0"/>
        <v>57</v>
      </c>
      <c r="BF23" s="243">
        <f t="shared" si="0"/>
        <v>58</v>
      </c>
      <c r="BG23" s="233">
        <f t="shared" si="0"/>
        <v>59</v>
      </c>
    </row>
    <row r="24" spans="1:62" ht="93" customHeight="1" thickBot="1">
      <c r="A24" s="229">
        <v>1</v>
      </c>
      <c r="B24" s="230" t="s">
        <v>167</v>
      </c>
      <c r="C24" s="231">
        <f>C25+C26+C27+C28+C29</f>
        <v>255.256</v>
      </c>
      <c r="D24" s="231">
        <f t="shared" ref="D24:BG24" si="1">D25+D26+D27+D28+D29</f>
        <v>0</v>
      </c>
      <c r="E24" s="231">
        <f t="shared" si="1"/>
        <v>0</v>
      </c>
      <c r="F24" s="231">
        <f t="shared" si="1"/>
        <v>0</v>
      </c>
      <c r="G24" s="235">
        <f t="shared" si="1"/>
        <v>0</v>
      </c>
      <c r="H24" s="231">
        <f t="shared" si="1"/>
        <v>0</v>
      </c>
      <c r="I24" s="231">
        <f t="shared" si="1"/>
        <v>0</v>
      </c>
      <c r="J24" s="231">
        <f t="shared" si="1"/>
        <v>0</v>
      </c>
      <c r="K24" s="231">
        <f t="shared" si="1"/>
        <v>0</v>
      </c>
      <c r="L24" s="231">
        <f t="shared" si="1"/>
        <v>0</v>
      </c>
      <c r="M24" s="231">
        <f t="shared" si="1"/>
        <v>0</v>
      </c>
      <c r="N24" s="231">
        <f t="shared" si="1"/>
        <v>0</v>
      </c>
      <c r="O24" s="231">
        <f t="shared" si="1"/>
        <v>0</v>
      </c>
      <c r="P24" s="231">
        <f t="shared" si="1"/>
        <v>0</v>
      </c>
      <c r="Q24" s="231">
        <f t="shared" si="1"/>
        <v>0</v>
      </c>
      <c r="R24" s="231">
        <f t="shared" si="1"/>
        <v>20.768999999999998</v>
      </c>
      <c r="S24" s="231">
        <f t="shared" si="1"/>
        <v>0</v>
      </c>
      <c r="T24" s="231">
        <f t="shared" si="1"/>
        <v>0</v>
      </c>
      <c r="U24" s="231">
        <f t="shared" si="1"/>
        <v>0</v>
      </c>
      <c r="V24" s="231">
        <f t="shared" si="1"/>
        <v>20.768999999999998</v>
      </c>
      <c r="W24" s="231">
        <f t="shared" si="1"/>
        <v>0</v>
      </c>
      <c r="X24" s="231">
        <f t="shared" si="1"/>
        <v>0</v>
      </c>
      <c r="Y24" s="231">
        <f t="shared" si="1"/>
        <v>0</v>
      </c>
      <c r="Z24" s="231">
        <f t="shared" si="1"/>
        <v>0</v>
      </c>
      <c r="AA24" s="231">
        <f t="shared" si="1"/>
        <v>0</v>
      </c>
      <c r="AB24" s="231">
        <f t="shared" si="1"/>
        <v>234.48699999999999</v>
      </c>
      <c r="AC24" s="231">
        <f t="shared" si="1"/>
        <v>0</v>
      </c>
      <c r="AD24" s="231">
        <f t="shared" si="1"/>
        <v>0</v>
      </c>
      <c r="AE24" s="231">
        <f t="shared" si="1"/>
        <v>0</v>
      </c>
      <c r="AF24" s="231">
        <f t="shared" si="1"/>
        <v>234.48699999999999</v>
      </c>
      <c r="AG24" s="231">
        <f t="shared" si="1"/>
        <v>0</v>
      </c>
      <c r="AH24" s="231">
        <f t="shared" si="1"/>
        <v>0</v>
      </c>
      <c r="AI24" s="231">
        <f t="shared" si="1"/>
        <v>0</v>
      </c>
      <c r="AJ24" s="231">
        <f t="shared" si="1"/>
        <v>0</v>
      </c>
      <c r="AK24" s="231">
        <f t="shared" si="1"/>
        <v>0</v>
      </c>
      <c r="AL24" s="231">
        <f t="shared" si="1"/>
        <v>0</v>
      </c>
      <c r="AM24" s="231">
        <f t="shared" si="1"/>
        <v>0</v>
      </c>
      <c r="AN24" s="231">
        <f t="shared" si="1"/>
        <v>0</v>
      </c>
      <c r="AO24" s="231">
        <f t="shared" si="1"/>
        <v>0</v>
      </c>
      <c r="AP24" s="231">
        <f t="shared" si="1"/>
        <v>0</v>
      </c>
      <c r="AQ24" s="231">
        <f t="shared" si="1"/>
        <v>0</v>
      </c>
      <c r="AR24" s="231">
        <f t="shared" si="1"/>
        <v>0</v>
      </c>
      <c r="AS24" s="231">
        <f t="shared" si="1"/>
        <v>0</v>
      </c>
      <c r="AT24" s="231">
        <f t="shared" si="1"/>
        <v>0</v>
      </c>
      <c r="AU24" s="231">
        <f t="shared" si="1"/>
        <v>0</v>
      </c>
      <c r="AV24" s="231">
        <f t="shared" si="1"/>
        <v>0</v>
      </c>
      <c r="AW24" s="231">
        <f t="shared" si="1"/>
        <v>0</v>
      </c>
      <c r="AX24" s="231">
        <f t="shared" si="1"/>
        <v>0</v>
      </c>
      <c r="AY24" s="231">
        <f t="shared" si="1"/>
        <v>0</v>
      </c>
      <c r="AZ24" s="231">
        <f t="shared" si="1"/>
        <v>0</v>
      </c>
      <c r="BA24" s="231">
        <f t="shared" si="1"/>
        <v>0</v>
      </c>
      <c r="BB24" s="231">
        <f t="shared" si="1"/>
        <v>0</v>
      </c>
      <c r="BC24" s="231">
        <f t="shared" si="1"/>
        <v>0</v>
      </c>
      <c r="BD24" s="231">
        <f t="shared" si="1"/>
        <v>0</v>
      </c>
      <c r="BE24" s="231">
        <f t="shared" si="1"/>
        <v>0</v>
      </c>
      <c r="BF24" s="244">
        <f t="shared" si="1"/>
        <v>255.256</v>
      </c>
      <c r="BG24" s="232">
        <f t="shared" si="1"/>
        <v>0</v>
      </c>
    </row>
    <row r="25" spans="1:62" ht="35.25" customHeight="1">
      <c r="A25" s="217" t="s">
        <v>166</v>
      </c>
      <c r="B25" s="218" t="s">
        <v>165</v>
      </c>
      <c r="C25" s="219">
        <f>G25+H25+R25+AB25+AL25+AV25</f>
        <v>0</v>
      </c>
      <c r="D25" s="219">
        <f>G25+M25+W25+AG25+AQ25+BA25</f>
        <v>0</v>
      </c>
      <c r="E25" s="220"/>
      <c r="F25" s="220"/>
      <c r="G25" s="236"/>
      <c r="H25" s="248">
        <f>I25+J25+K25+L25</f>
        <v>0</v>
      </c>
      <c r="I25" s="221"/>
      <c r="J25" s="221"/>
      <c r="K25" s="219"/>
      <c r="L25" s="221"/>
      <c r="M25" s="221">
        <f>N25+O25+P25+Q25</f>
        <v>0</v>
      </c>
      <c r="N25" s="221"/>
      <c r="O25" s="221"/>
      <c r="P25" s="221"/>
      <c r="Q25" s="249"/>
      <c r="R25" s="256">
        <f>S25+T25+U25+V25</f>
        <v>0</v>
      </c>
      <c r="S25" s="221"/>
      <c r="T25" s="221"/>
      <c r="U25" s="219"/>
      <c r="V25" s="221"/>
      <c r="W25" s="221">
        <f>X25+Y25+Z25+AA25</f>
        <v>0</v>
      </c>
      <c r="X25" s="221"/>
      <c r="Y25" s="221"/>
      <c r="Z25" s="221"/>
      <c r="AA25" s="249"/>
      <c r="AB25" s="256">
        <f>AC25+AD25+AE25+AF25</f>
        <v>0</v>
      </c>
      <c r="AC25" s="221"/>
      <c r="AD25" s="221"/>
      <c r="AE25" s="221"/>
      <c r="AF25" s="221"/>
      <c r="AG25" s="221">
        <f>AH25+AI25+AJ25+AK25</f>
        <v>0</v>
      </c>
      <c r="AH25" s="221"/>
      <c r="AI25" s="221"/>
      <c r="AJ25" s="221"/>
      <c r="AK25" s="249"/>
      <c r="AL25" s="256">
        <f>AM25+AN25+AO25+AP25</f>
        <v>0</v>
      </c>
      <c r="AM25" s="221"/>
      <c r="AN25" s="219"/>
      <c r="AO25" s="221"/>
      <c r="AP25" s="221"/>
      <c r="AQ25" s="221">
        <f>AR25+AS25+AT25+AU25</f>
        <v>0</v>
      </c>
      <c r="AR25" s="221"/>
      <c r="AS25" s="221"/>
      <c r="AT25" s="221"/>
      <c r="AU25" s="249"/>
      <c r="AV25" s="256">
        <f>AW25+AX25+AY25+AZ25</f>
        <v>0</v>
      </c>
      <c r="AW25" s="221"/>
      <c r="AX25" s="221"/>
      <c r="AY25" s="221"/>
      <c r="AZ25" s="221"/>
      <c r="BA25" s="221">
        <f>BB25+BC25+BD25+BE25</f>
        <v>0</v>
      </c>
      <c r="BB25" s="221"/>
      <c r="BC25" s="221"/>
      <c r="BD25" s="221"/>
      <c r="BE25" s="249"/>
      <c r="BF25" s="245">
        <f>H25+R25+AB25+AL25+AV25</f>
        <v>0</v>
      </c>
      <c r="BG25" s="219">
        <f>M25+W25+AG25+AQ25+BA25</f>
        <v>0</v>
      </c>
    </row>
    <row r="26" spans="1:62" ht="33" customHeight="1">
      <c r="A26" s="145" t="s">
        <v>164</v>
      </c>
      <c r="B26" s="146" t="s">
        <v>163</v>
      </c>
      <c r="C26" s="195">
        <f t="shared" ref="C26:C29" si="2">G26+H26+R26+AB26+AL26+AV26</f>
        <v>0</v>
      </c>
      <c r="D26" s="195">
        <f t="shared" ref="D26:D29" si="3">G26+M26+W26+AG26+AQ26+BA26</f>
        <v>0</v>
      </c>
      <c r="E26" s="147"/>
      <c r="F26" s="147"/>
      <c r="G26" s="237"/>
      <c r="H26" s="250">
        <f t="shared" ref="H26:H29" si="4">I26+J26+K26+L26</f>
        <v>0</v>
      </c>
      <c r="I26" s="176"/>
      <c r="J26" s="176"/>
      <c r="K26" s="195"/>
      <c r="L26" s="176"/>
      <c r="M26" s="144">
        <f t="shared" ref="M26:M29" si="5">N26+O26+P26+Q26</f>
        <v>0</v>
      </c>
      <c r="N26" s="176"/>
      <c r="O26" s="176"/>
      <c r="P26" s="176"/>
      <c r="Q26" s="251"/>
      <c r="R26" s="257">
        <f t="shared" ref="R26:R29" si="6">S26+T26+U26+V26</f>
        <v>0</v>
      </c>
      <c r="S26" s="176"/>
      <c r="T26" s="176"/>
      <c r="U26" s="195"/>
      <c r="V26" s="176"/>
      <c r="W26" s="144">
        <f t="shared" ref="W26:W29" si="7">X26+Y26+Z26+AA26</f>
        <v>0</v>
      </c>
      <c r="X26" s="176"/>
      <c r="Y26" s="176"/>
      <c r="Z26" s="176"/>
      <c r="AA26" s="258"/>
      <c r="AB26" s="257">
        <f t="shared" ref="AB26:AB29" si="8">AC26+AD26+AE26+AF26</f>
        <v>0</v>
      </c>
      <c r="AC26" s="176"/>
      <c r="AD26" s="176"/>
      <c r="AE26" s="176"/>
      <c r="AF26" s="176"/>
      <c r="AG26" s="144">
        <f t="shared" ref="AG26:AG29" si="9">AH26+AI26+AJ26+AK26</f>
        <v>0</v>
      </c>
      <c r="AH26" s="176"/>
      <c r="AI26" s="176"/>
      <c r="AJ26" s="176"/>
      <c r="AK26" s="258"/>
      <c r="AL26" s="257">
        <f t="shared" ref="AL26:AL29" si="10">AM26+AN26+AO26+AP26</f>
        <v>0</v>
      </c>
      <c r="AM26" s="176"/>
      <c r="AN26" s="195"/>
      <c r="AO26" s="176"/>
      <c r="AP26" s="176"/>
      <c r="AQ26" s="144">
        <f t="shared" ref="AQ26:AQ29" si="11">AR26+AS26+AT26+AU26</f>
        <v>0</v>
      </c>
      <c r="AR26" s="176"/>
      <c r="AS26" s="176"/>
      <c r="AT26" s="176"/>
      <c r="AU26" s="258"/>
      <c r="AV26" s="257">
        <f t="shared" ref="AV26:AV29" si="12">AW26+AX26+AY26+AZ26</f>
        <v>0</v>
      </c>
      <c r="AW26" s="176"/>
      <c r="AX26" s="176"/>
      <c r="AY26" s="176"/>
      <c r="AZ26" s="176"/>
      <c r="BA26" s="144">
        <f t="shared" ref="BA26:BA29" si="13">BB26+BC26+BD26+BE26</f>
        <v>0</v>
      </c>
      <c r="BB26" s="176"/>
      <c r="BC26" s="176"/>
      <c r="BD26" s="176"/>
      <c r="BE26" s="258"/>
      <c r="BF26" s="246">
        <f t="shared" ref="BF26:BF29" si="14">H26+R26+AB26+AL26+AV26</f>
        <v>0</v>
      </c>
      <c r="BG26" s="195">
        <f t="shared" ref="BG26:BG29" si="15">M26+W26+AG26+AQ26+BA26</f>
        <v>0</v>
      </c>
    </row>
    <row r="27" spans="1:62" ht="44.25" customHeight="1">
      <c r="A27" s="145" t="s">
        <v>162</v>
      </c>
      <c r="B27" s="146" t="s">
        <v>339</v>
      </c>
      <c r="C27" s="195">
        <f t="shared" si="2"/>
        <v>255.256</v>
      </c>
      <c r="D27" s="195">
        <f t="shared" si="3"/>
        <v>0</v>
      </c>
      <c r="E27" s="147"/>
      <c r="F27" s="147"/>
      <c r="G27" s="238">
        <v>0</v>
      </c>
      <c r="H27" s="250">
        <f t="shared" si="4"/>
        <v>0</v>
      </c>
      <c r="I27" s="146"/>
      <c r="J27" s="146"/>
      <c r="K27" s="196"/>
      <c r="L27" s="146"/>
      <c r="M27" s="144">
        <f t="shared" si="5"/>
        <v>0</v>
      </c>
      <c r="N27" s="146"/>
      <c r="O27" s="146"/>
      <c r="P27" s="196"/>
      <c r="Q27" s="252"/>
      <c r="R27" s="257">
        <f t="shared" si="6"/>
        <v>20.768999999999998</v>
      </c>
      <c r="S27" s="146"/>
      <c r="T27" s="146"/>
      <c r="U27" s="146"/>
      <c r="V27" s="146">
        <v>20.768999999999998</v>
      </c>
      <c r="W27" s="144">
        <f t="shared" si="7"/>
        <v>0</v>
      </c>
      <c r="X27" s="146"/>
      <c r="Y27" s="146"/>
      <c r="Z27" s="146"/>
      <c r="AA27" s="258"/>
      <c r="AB27" s="257">
        <f t="shared" si="8"/>
        <v>234.48699999999999</v>
      </c>
      <c r="AC27" s="146"/>
      <c r="AD27" s="146"/>
      <c r="AE27" s="146"/>
      <c r="AF27" s="146">
        <v>234.48699999999999</v>
      </c>
      <c r="AG27" s="144">
        <f t="shared" si="9"/>
        <v>0</v>
      </c>
      <c r="AH27" s="146"/>
      <c r="AI27" s="146"/>
      <c r="AJ27" s="146"/>
      <c r="AK27" s="258"/>
      <c r="AL27" s="257">
        <f t="shared" si="10"/>
        <v>0</v>
      </c>
      <c r="AM27" s="146"/>
      <c r="AN27" s="146"/>
      <c r="AO27" s="146"/>
      <c r="AP27" s="146"/>
      <c r="AQ27" s="144">
        <f t="shared" si="11"/>
        <v>0</v>
      </c>
      <c r="AR27" s="146"/>
      <c r="AS27" s="146"/>
      <c r="AT27" s="146"/>
      <c r="AU27" s="258"/>
      <c r="AV27" s="257">
        <f t="shared" si="12"/>
        <v>0</v>
      </c>
      <c r="AW27" s="146"/>
      <c r="AX27" s="146"/>
      <c r="AY27" s="146"/>
      <c r="AZ27" s="146"/>
      <c r="BA27" s="144">
        <f t="shared" si="13"/>
        <v>0</v>
      </c>
      <c r="BB27" s="146"/>
      <c r="BC27" s="146"/>
      <c r="BD27" s="146"/>
      <c r="BE27" s="258"/>
      <c r="BF27" s="246">
        <f t="shared" si="14"/>
        <v>255.256</v>
      </c>
      <c r="BG27" s="195">
        <f t="shared" si="15"/>
        <v>0</v>
      </c>
    </row>
    <row r="28" spans="1:62" ht="30.75" customHeight="1">
      <c r="A28" s="145" t="s">
        <v>161</v>
      </c>
      <c r="B28" s="146" t="s">
        <v>160</v>
      </c>
      <c r="C28" s="195">
        <f t="shared" si="2"/>
        <v>0</v>
      </c>
      <c r="D28" s="195">
        <f t="shared" si="3"/>
        <v>0</v>
      </c>
      <c r="E28" s="147"/>
      <c r="F28" s="196">
        <f>C28</f>
        <v>0</v>
      </c>
      <c r="G28" s="239"/>
      <c r="H28" s="250">
        <f t="shared" si="4"/>
        <v>0</v>
      </c>
      <c r="I28" s="146"/>
      <c r="J28" s="146"/>
      <c r="K28" s="146"/>
      <c r="L28" s="146"/>
      <c r="M28" s="144">
        <f t="shared" si="5"/>
        <v>0</v>
      </c>
      <c r="N28" s="146"/>
      <c r="O28" s="146"/>
      <c r="P28" s="146"/>
      <c r="Q28" s="252"/>
      <c r="R28" s="257">
        <f t="shared" si="6"/>
        <v>0</v>
      </c>
      <c r="S28" s="146"/>
      <c r="T28" s="146"/>
      <c r="U28" s="146"/>
      <c r="V28" s="146"/>
      <c r="W28" s="144">
        <f t="shared" si="7"/>
        <v>0</v>
      </c>
      <c r="X28" s="146"/>
      <c r="Y28" s="146"/>
      <c r="Z28" s="146"/>
      <c r="AA28" s="258"/>
      <c r="AB28" s="257">
        <f t="shared" si="8"/>
        <v>0</v>
      </c>
      <c r="AC28" s="146"/>
      <c r="AD28" s="146"/>
      <c r="AE28" s="146"/>
      <c r="AF28" s="146"/>
      <c r="AG28" s="144">
        <f t="shared" si="9"/>
        <v>0</v>
      </c>
      <c r="AH28" s="146"/>
      <c r="AI28" s="146"/>
      <c r="AJ28" s="146"/>
      <c r="AK28" s="258"/>
      <c r="AL28" s="257">
        <f t="shared" si="10"/>
        <v>0</v>
      </c>
      <c r="AM28" s="146"/>
      <c r="AN28" s="146"/>
      <c r="AO28" s="146"/>
      <c r="AP28" s="146"/>
      <c r="AQ28" s="144">
        <f t="shared" si="11"/>
        <v>0</v>
      </c>
      <c r="AR28" s="146"/>
      <c r="AS28" s="146"/>
      <c r="AT28" s="146"/>
      <c r="AU28" s="258"/>
      <c r="AV28" s="257">
        <f t="shared" si="12"/>
        <v>0</v>
      </c>
      <c r="AW28" s="146"/>
      <c r="AX28" s="146"/>
      <c r="AY28" s="146"/>
      <c r="AZ28" s="146"/>
      <c r="BA28" s="144">
        <f t="shared" si="13"/>
        <v>0</v>
      </c>
      <c r="BB28" s="146"/>
      <c r="BC28" s="146"/>
      <c r="BD28" s="146"/>
      <c r="BE28" s="258"/>
      <c r="BF28" s="246">
        <f t="shared" si="14"/>
        <v>0</v>
      </c>
      <c r="BG28" s="195">
        <f t="shared" si="15"/>
        <v>0</v>
      </c>
    </row>
    <row r="29" spans="1:62" ht="33.75" customHeight="1" thickBot="1">
      <c r="A29" s="222" t="s">
        <v>159</v>
      </c>
      <c r="B29" s="148" t="s">
        <v>158</v>
      </c>
      <c r="C29" s="223">
        <f t="shared" si="2"/>
        <v>0</v>
      </c>
      <c r="D29" s="223">
        <f t="shared" si="3"/>
        <v>0</v>
      </c>
      <c r="E29" s="141"/>
      <c r="F29" s="141"/>
      <c r="G29" s="240"/>
      <c r="H29" s="253">
        <f t="shared" si="4"/>
        <v>0</v>
      </c>
      <c r="I29" s="224"/>
      <c r="J29" s="224"/>
      <c r="K29" s="224"/>
      <c r="L29" s="224"/>
      <c r="M29" s="225">
        <f t="shared" si="5"/>
        <v>0</v>
      </c>
      <c r="N29" s="224"/>
      <c r="O29" s="224"/>
      <c r="P29" s="224"/>
      <c r="Q29" s="254"/>
      <c r="R29" s="259">
        <f t="shared" si="6"/>
        <v>0</v>
      </c>
      <c r="S29" s="224"/>
      <c r="T29" s="224"/>
      <c r="U29" s="224"/>
      <c r="V29" s="224"/>
      <c r="W29" s="225">
        <f t="shared" si="7"/>
        <v>0</v>
      </c>
      <c r="X29" s="224"/>
      <c r="Y29" s="224"/>
      <c r="Z29" s="224"/>
      <c r="AA29" s="260"/>
      <c r="AB29" s="259">
        <f t="shared" si="8"/>
        <v>0</v>
      </c>
      <c r="AC29" s="224"/>
      <c r="AD29" s="224"/>
      <c r="AE29" s="224"/>
      <c r="AF29" s="224"/>
      <c r="AG29" s="225">
        <f t="shared" si="9"/>
        <v>0</v>
      </c>
      <c r="AH29" s="224"/>
      <c r="AI29" s="224"/>
      <c r="AJ29" s="224"/>
      <c r="AK29" s="260"/>
      <c r="AL29" s="259">
        <f t="shared" si="10"/>
        <v>0</v>
      </c>
      <c r="AM29" s="224"/>
      <c r="AN29" s="224"/>
      <c r="AO29" s="224"/>
      <c r="AP29" s="224"/>
      <c r="AQ29" s="225">
        <f t="shared" si="11"/>
        <v>0</v>
      </c>
      <c r="AR29" s="224"/>
      <c r="AS29" s="224"/>
      <c r="AT29" s="224"/>
      <c r="AU29" s="260"/>
      <c r="AV29" s="259">
        <f t="shared" si="12"/>
        <v>0</v>
      </c>
      <c r="AW29" s="224"/>
      <c r="AX29" s="224"/>
      <c r="AY29" s="224"/>
      <c r="AZ29" s="224"/>
      <c r="BA29" s="225">
        <f t="shared" si="13"/>
        <v>0</v>
      </c>
      <c r="BB29" s="224"/>
      <c r="BC29" s="224"/>
      <c r="BD29" s="224"/>
      <c r="BE29" s="260"/>
      <c r="BF29" s="247">
        <f t="shared" si="14"/>
        <v>0</v>
      </c>
      <c r="BG29" s="223">
        <f t="shared" si="15"/>
        <v>0</v>
      </c>
    </row>
    <row r="30" spans="1:62" ht="93.75" customHeight="1" thickBot="1">
      <c r="A30" s="229" t="s">
        <v>62</v>
      </c>
      <c r="B30" s="230" t="s">
        <v>157</v>
      </c>
      <c r="C30" s="231">
        <f>C31+C32+C33+C34</f>
        <v>212.71333333333334</v>
      </c>
      <c r="D30" s="231">
        <f t="shared" ref="D30:BG30" si="16">D31+D32+D33+D34</f>
        <v>0</v>
      </c>
      <c r="E30" s="231">
        <f t="shared" si="16"/>
        <v>0</v>
      </c>
      <c r="F30" s="231">
        <f t="shared" si="16"/>
        <v>212.71333333333334</v>
      </c>
      <c r="G30" s="235">
        <f t="shared" si="16"/>
        <v>0</v>
      </c>
      <c r="H30" s="231">
        <f t="shared" si="16"/>
        <v>0</v>
      </c>
      <c r="I30" s="231">
        <f t="shared" si="16"/>
        <v>0</v>
      </c>
      <c r="J30" s="231">
        <f t="shared" si="16"/>
        <v>0</v>
      </c>
      <c r="K30" s="231">
        <f t="shared" si="16"/>
        <v>0</v>
      </c>
      <c r="L30" s="231">
        <f t="shared" si="16"/>
        <v>0</v>
      </c>
      <c r="M30" s="231">
        <f t="shared" si="16"/>
        <v>0</v>
      </c>
      <c r="N30" s="231">
        <f t="shared" si="16"/>
        <v>0</v>
      </c>
      <c r="O30" s="231">
        <f t="shared" si="16"/>
        <v>0</v>
      </c>
      <c r="P30" s="231">
        <f t="shared" si="16"/>
        <v>0</v>
      </c>
      <c r="Q30" s="231">
        <f t="shared" si="16"/>
        <v>0</v>
      </c>
      <c r="R30" s="231">
        <f t="shared" si="16"/>
        <v>17.307500000000001</v>
      </c>
      <c r="S30" s="231">
        <f t="shared" si="16"/>
        <v>0</v>
      </c>
      <c r="T30" s="231">
        <f t="shared" si="16"/>
        <v>0</v>
      </c>
      <c r="U30" s="231">
        <f t="shared" si="16"/>
        <v>0</v>
      </c>
      <c r="V30" s="231">
        <f t="shared" si="16"/>
        <v>17.307500000000001</v>
      </c>
      <c r="W30" s="231">
        <f t="shared" si="16"/>
        <v>0</v>
      </c>
      <c r="X30" s="231">
        <f t="shared" si="16"/>
        <v>0</v>
      </c>
      <c r="Y30" s="231">
        <f t="shared" si="16"/>
        <v>0</v>
      </c>
      <c r="Z30" s="231">
        <f t="shared" si="16"/>
        <v>0</v>
      </c>
      <c r="AA30" s="231">
        <f t="shared" si="16"/>
        <v>0</v>
      </c>
      <c r="AB30" s="231">
        <f t="shared" si="16"/>
        <v>195.40583333333333</v>
      </c>
      <c r="AC30" s="231">
        <f t="shared" si="16"/>
        <v>0</v>
      </c>
      <c r="AD30" s="231">
        <f t="shared" si="16"/>
        <v>0</v>
      </c>
      <c r="AE30" s="231">
        <f t="shared" si="16"/>
        <v>0</v>
      </c>
      <c r="AF30" s="231">
        <f t="shared" si="16"/>
        <v>195.40583333333333</v>
      </c>
      <c r="AG30" s="231">
        <f t="shared" si="16"/>
        <v>0</v>
      </c>
      <c r="AH30" s="231">
        <f t="shared" si="16"/>
        <v>0</v>
      </c>
      <c r="AI30" s="231">
        <f t="shared" si="16"/>
        <v>0</v>
      </c>
      <c r="AJ30" s="231">
        <f t="shared" si="16"/>
        <v>0</v>
      </c>
      <c r="AK30" s="231">
        <f t="shared" si="16"/>
        <v>0</v>
      </c>
      <c r="AL30" s="231">
        <f t="shared" si="16"/>
        <v>0</v>
      </c>
      <c r="AM30" s="231">
        <f t="shared" si="16"/>
        <v>0</v>
      </c>
      <c r="AN30" s="231">
        <f t="shared" si="16"/>
        <v>0</v>
      </c>
      <c r="AO30" s="231">
        <f t="shared" si="16"/>
        <v>0</v>
      </c>
      <c r="AP30" s="231">
        <f t="shared" si="16"/>
        <v>0</v>
      </c>
      <c r="AQ30" s="231">
        <f t="shared" si="16"/>
        <v>0</v>
      </c>
      <c r="AR30" s="231">
        <f t="shared" si="16"/>
        <v>0</v>
      </c>
      <c r="AS30" s="231">
        <f t="shared" si="16"/>
        <v>0</v>
      </c>
      <c r="AT30" s="231">
        <f t="shared" si="16"/>
        <v>0</v>
      </c>
      <c r="AU30" s="231">
        <f t="shared" si="16"/>
        <v>0</v>
      </c>
      <c r="AV30" s="231">
        <f t="shared" si="16"/>
        <v>0</v>
      </c>
      <c r="AW30" s="231">
        <f t="shared" si="16"/>
        <v>0</v>
      </c>
      <c r="AX30" s="231">
        <f t="shared" si="16"/>
        <v>0</v>
      </c>
      <c r="AY30" s="231">
        <f t="shared" si="16"/>
        <v>0</v>
      </c>
      <c r="AZ30" s="231">
        <f t="shared" si="16"/>
        <v>0</v>
      </c>
      <c r="BA30" s="231">
        <f t="shared" si="16"/>
        <v>0</v>
      </c>
      <c r="BB30" s="231">
        <f t="shared" si="16"/>
        <v>0</v>
      </c>
      <c r="BC30" s="231">
        <f t="shared" si="16"/>
        <v>0</v>
      </c>
      <c r="BD30" s="231">
        <f t="shared" si="16"/>
        <v>0</v>
      </c>
      <c r="BE30" s="231">
        <f t="shared" si="16"/>
        <v>0</v>
      </c>
      <c r="BF30" s="244">
        <f t="shared" si="16"/>
        <v>212.71333333333334</v>
      </c>
      <c r="BG30" s="232">
        <f t="shared" si="16"/>
        <v>0</v>
      </c>
    </row>
    <row r="31" spans="1:62" ht="29.25" customHeight="1">
      <c r="A31" s="226" t="s">
        <v>156</v>
      </c>
      <c r="B31" s="218" t="s">
        <v>155</v>
      </c>
      <c r="C31" s="219">
        <f t="shared" ref="C31:C42" si="17">G31+H31+R31+AB31+AL31+AV31</f>
        <v>17.307500000000001</v>
      </c>
      <c r="D31" s="219">
        <f t="shared" ref="D31:D42" si="18">G31+M31+W31+AG31+AQ31+BA31</f>
        <v>0</v>
      </c>
      <c r="E31" s="178"/>
      <c r="F31" s="219">
        <f>C31</f>
        <v>17.307500000000001</v>
      </c>
      <c r="G31" s="317">
        <f>G27/1.2</f>
        <v>0</v>
      </c>
      <c r="H31" s="248">
        <f>I31+J31+K31+L31</f>
        <v>0</v>
      </c>
      <c r="I31" s="218"/>
      <c r="J31" s="218"/>
      <c r="K31" s="218"/>
      <c r="L31" s="218">
        <f>L28/1.2</f>
        <v>0</v>
      </c>
      <c r="M31" s="219">
        <f>N31+O31+P31+Q31</f>
        <v>0</v>
      </c>
      <c r="N31" s="218"/>
      <c r="O31" s="218"/>
      <c r="P31" s="318"/>
      <c r="Q31" s="255"/>
      <c r="R31" s="248">
        <f>S31+T31+U31+V31</f>
        <v>17.307500000000001</v>
      </c>
      <c r="S31" s="218"/>
      <c r="T31" s="218"/>
      <c r="U31" s="218"/>
      <c r="V31" s="218">
        <f>V27/1.2</f>
        <v>17.307500000000001</v>
      </c>
      <c r="W31" s="219">
        <f>X31+Y31+Z31+AA31</f>
        <v>0</v>
      </c>
      <c r="X31" s="218"/>
      <c r="Y31" s="218"/>
      <c r="Z31" s="218"/>
      <c r="AA31" s="261"/>
      <c r="AB31" s="248">
        <f>AC31+AD31+AE31+AF31</f>
        <v>0</v>
      </c>
      <c r="AC31" s="218"/>
      <c r="AD31" s="218"/>
      <c r="AE31" s="218"/>
      <c r="AF31" s="218"/>
      <c r="AG31" s="219">
        <f>AH31+AI31+AJ31+AK31</f>
        <v>0</v>
      </c>
      <c r="AH31" s="218"/>
      <c r="AI31" s="218"/>
      <c r="AJ31" s="218"/>
      <c r="AK31" s="261"/>
      <c r="AL31" s="248">
        <f>AM31+AN31+AO31+AP31</f>
        <v>0</v>
      </c>
      <c r="AM31" s="218"/>
      <c r="AN31" s="219"/>
      <c r="AO31" s="218"/>
      <c r="AP31" s="218"/>
      <c r="AQ31" s="219">
        <f>AR31+AS31+AT31+AU31</f>
        <v>0</v>
      </c>
      <c r="AR31" s="218"/>
      <c r="AS31" s="218"/>
      <c r="AT31" s="218"/>
      <c r="AU31" s="261"/>
      <c r="AV31" s="248">
        <f>AW31+AX31+AY31+AZ31</f>
        <v>0</v>
      </c>
      <c r="AW31" s="218"/>
      <c r="AX31" s="218"/>
      <c r="AY31" s="218"/>
      <c r="AZ31" s="218"/>
      <c r="BA31" s="219">
        <f>BB31+BC31+BD31+BE31</f>
        <v>0</v>
      </c>
      <c r="BB31" s="218"/>
      <c r="BC31" s="218"/>
      <c r="BD31" s="218"/>
      <c r="BE31" s="261"/>
      <c r="BF31" s="245">
        <f t="shared" ref="BF31:BF34" si="19">H31+R31+AB31+AL31+AV31</f>
        <v>17.307500000000001</v>
      </c>
      <c r="BG31" s="219">
        <f t="shared" ref="BG31:BG34" si="20">M31+W31+AG31+AQ31+BA31</f>
        <v>0</v>
      </c>
    </row>
    <row r="32" spans="1:62" ht="46.5" customHeight="1">
      <c r="A32" s="143" t="s">
        <v>154</v>
      </c>
      <c r="B32" s="146" t="s">
        <v>153</v>
      </c>
      <c r="C32" s="195">
        <f t="shared" si="17"/>
        <v>195.40583333333333</v>
      </c>
      <c r="D32" s="195">
        <f t="shared" si="18"/>
        <v>0</v>
      </c>
      <c r="E32" s="142"/>
      <c r="F32" s="195">
        <f>C32</f>
        <v>195.40583333333333</v>
      </c>
      <c r="G32" s="242"/>
      <c r="H32" s="250">
        <f t="shared" ref="H32:H57" si="21">I32+J32+K32+L32</f>
        <v>0</v>
      </c>
      <c r="I32" s="146"/>
      <c r="J32" s="146"/>
      <c r="K32" s="146">
        <f>(K25+K26)/1.2</f>
        <v>0</v>
      </c>
      <c r="L32" s="146"/>
      <c r="M32" s="195">
        <f t="shared" ref="M32:M33" si="22">N32+O32+P32+Q32</f>
        <v>0</v>
      </c>
      <c r="N32" s="146"/>
      <c r="O32" s="146">
        <f>O27/1.2</f>
        <v>0</v>
      </c>
      <c r="P32" s="196"/>
      <c r="Q32" s="252"/>
      <c r="R32" s="250">
        <f t="shared" ref="R32:R34" si="23">S32+T32+U32+V32</f>
        <v>0</v>
      </c>
      <c r="S32" s="146"/>
      <c r="T32" s="146"/>
      <c r="U32" s="146">
        <f>(U25+U26)/1.2</f>
        <v>0</v>
      </c>
      <c r="V32" s="146"/>
      <c r="W32" s="195">
        <f t="shared" ref="W32:W34" si="24">X32+Y32+Z32+AA32</f>
        <v>0</v>
      </c>
      <c r="X32" s="146"/>
      <c r="Y32" s="146"/>
      <c r="Z32" s="146"/>
      <c r="AA32" s="258"/>
      <c r="AB32" s="250">
        <f t="shared" ref="AB32:AB34" si="25">AC32+AD32+AE32+AF32</f>
        <v>195.40583333333333</v>
      </c>
      <c r="AC32" s="146"/>
      <c r="AD32" s="146"/>
      <c r="AE32" s="146"/>
      <c r="AF32" s="146">
        <f>AF27/1.2</f>
        <v>195.40583333333333</v>
      </c>
      <c r="AG32" s="195">
        <f t="shared" ref="AG32:AG34" si="26">AH32+AI32+AJ32+AK32</f>
        <v>0</v>
      </c>
      <c r="AH32" s="146"/>
      <c r="AI32" s="146"/>
      <c r="AJ32" s="146"/>
      <c r="AK32" s="258"/>
      <c r="AL32" s="250">
        <f t="shared" ref="AL32:AL34" si="27">AM32+AN32+AO32+AP32</f>
        <v>0</v>
      </c>
      <c r="AM32" s="146"/>
      <c r="AN32" s="195"/>
      <c r="AO32" s="146"/>
      <c r="AP32" s="146"/>
      <c r="AQ32" s="195">
        <f t="shared" ref="AQ32:AQ34" si="28">AR32+AS32+AT32+AU32</f>
        <v>0</v>
      </c>
      <c r="AR32" s="146"/>
      <c r="AS32" s="146"/>
      <c r="AT32" s="146">
        <f>AT27/1.2</f>
        <v>0</v>
      </c>
      <c r="AU32" s="258"/>
      <c r="AV32" s="250">
        <f t="shared" ref="AV32:AV34" si="29">AW32+AX32+AY32+AZ32</f>
        <v>0</v>
      </c>
      <c r="AW32" s="146"/>
      <c r="AX32" s="146"/>
      <c r="AY32" s="146"/>
      <c r="AZ32" s="146"/>
      <c r="BA32" s="195">
        <f t="shared" ref="BA32:BA34" si="30">BB32+BC32+BD32+BE32</f>
        <v>0</v>
      </c>
      <c r="BB32" s="146"/>
      <c r="BC32" s="146"/>
      <c r="BD32" s="146"/>
      <c r="BE32" s="258"/>
      <c r="BF32" s="246">
        <f t="shared" si="19"/>
        <v>195.40583333333333</v>
      </c>
      <c r="BG32" s="195">
        <f t="shared" si="20"/>
        <v>0</v>
      </c>
    </row>
    <row r="33" spans="1:59" ht="39.75" customHeight="1">
      <c r="A33" s="143" t="s">
        <v>152</v>
      </c>
      <c r="B33" s="146" t="s">
        <v>151</v>
      </c>
      <c r="C33" s="195">
        <f t="shared" si="17"/>
        <v>0</v>
      </c>
      <c r="D33" s="195">
        <f t="shared" si="18"/>
        <v>0</v>
      </c>
      <c r="E33" s="142"/>
      <c r="F33" s="142"/>
      <c r="G33" s="239"/>
      <c r="H33" s="250">
        <f t="shared" si="21"/>
        <v>0</v>
      </c>
      <c r="I33" s="146"/>
      <c r="J33" s="146"/>
      <c r="K33" s="146"/>
      <c r="L33" s="146"/>
      <c r="M33" s="195">
        <f t="shared" si="22"/>
        <v>0</v>
      </c>
      <c r="N33" s="146"/>
      <c r="O33" s="146"/>
      <c r="P33" s="146"/>
      <c r="Q33" s="252"/>
      <c r="R33" s="250">
        <f t="shared" si="23"/>
        <v>0</v>
      </c>
      <c r="S33" s="146"/>
      <c r="T33" s="146"/>
      <c r="U33" s="146"/>
      <c r="V33" s="146"/>
      <c r="W33" s="195">
        <f t="shared" si="24"/>
        <v>0</v>
      </c>
      <c r="X33" s="146"/>
      <c r="Y33" s="146"/>
      <c r="Z33" s="146"/>
      <c r="AA33" s="258"/>
      <c r="AB33" s="250">
        <f t="shared" si="25"/>
        <v>0</v>
      </c>
      <c r="AC33" s="146"/>
      <c r="AD33" s="146"/>
      <c r="AE33" s="146"/>
      <c r="AF33" s="146"/>
      <c r="AG33" s="195">
        <f t="shared" si="26"/>
        <v>0</v>
      </c>
      <c r="AH33" s="146"/>
      <c r="AI33" s="146"/>
      <c r="AJ33" s="146"/>
      <c r="AK33" s="258"/>
      <c r="AL33" s="250">
        <f t="shared" si="27"/>
        <v>0</v>
      </c>
      <c r="AM33" s="146"/>
      <c r="AN33" s="146"/>
      <c r="AO33" s="146"/>
      <c r="AP33" s="146"/>
      <c r="AQ33" s="195">
        <f t="shared" si="28"/>
        <v>0</v>
      </c>
      <c r="AR33" s="146"/>
      <c r="AS33" s="146"/>
      <c r="AT33" s="146"/>
      <c r="AU33" s="258"/>
      <c r="AV33" s="250">
        <f t="shared" si="29"/>
        <v>0</v>
      </c>
      <c r="AW33" s="146"/>
      <c r="AX33" s="146"/>
      <c r="AY33" s="146"/>
      <c r="AZ33" s="146"/>
      <c r="BA33" s="195">
        <f t="shared" si="30"/>
        <v>0</v>
      </c>
      <c r="BB33" s="146"/>
      <c r="BC33" s="146"/>
      <c r="BD33" s="146"/>
      <c r="BE33" s="258"/>
      <c r="BF33" s="246">
        <f t="shared" si="19"/>
        <v>0</v>
      </c>
      <c r="BG33" s="195">
        <f t="shared" si="20"/>
        <v>0</v>
      </c>
    </row>
    <row r="34" spans="1:59" ht="30.75" customHeight="1" thickBot="1">
      <c r="A34" s="227" t="s">
        <v>150</v>
      </c>
      <c r="B34" s="224" t="s">
        <v>149</v>
      </c>
      <c r="C34" s="223">
        <f t="shared" si="17"/>
        <v>0</v>
      </c>
      <c r="D34" s="223">
        <f t="shared" si="18"/>
        <v>0</v>
      </c>
      <c r="E34" s="177"/>
      <c r="F34" s="177"/>
      <c r="G34" s="240"/>
      <c r="H34" s="253">
        <f t="shared" si="21"/>
        <v>0</v>
      </c>
      <c r="I34" s="224"/>
      <c r="J34" s="224"/>
      <c r="K34" s="224"/>
      <c r="L34" s="224"/>
      <c r="M34" s="223">
        <f t="shared" ref="M34" si="31">N34+O34+P34+Q34</f>
        <v>0</v>
      </c>
      <c r="N34" s="224"/>
      <c r="O34" s="224"/>
      <c r="P34" s="224"/>
      <c r="Q34" s="254"/>
      <c r="R34" s="253">
        <f t="shared" si="23"/>
        <v>0</v>
      </c>
      <c r="S34" s="224"/>
      <c r="T34" s="224"/>
      <c r="U34" s="224"/>
      <c r="V34" s="224"/>
      <c r="W34" s="223">
        <f t="shared" si="24"/>
        <v>0</v>
      </c>
      <c r="X34" s="224"/>
      <c r="Y34" s="224"/>
      <c r="Z34" s="224"/>
      <c r="AA34" s="260"/>
      <c r="AB34" s="253">
        <f t="shared" si="25"/>
        <v>0</v>
      </c>
      <c r="AC34" s="224"/>
      <c r="AD34" s="224"/>
      <c r="AE34" s="224"/>
      <c r="AF34" s="224"/>
      <c r="AG34" s="223">
        <f t="shared" si="26"/>
        <v>0</v>
      </c>
      <c r="AH34" s="224"/>
      <c r="AI34" s="224"/>
      <c r="AJ34" s="224"/>
      <c r="AK34" s="260"/>
      <c r="AL34" s="253">
        <f t="shared" si="27"/>
        <v>0</v>
      </c>
      <c r="AM34" s="224"/>
      <c r="AN34" s="224"/>
      <c r="AO34" s="224"/>
      <c r="AP34" s="224"/>
      <c r="AQ34" s="223">
        <f t="shared" si="28"/>
        <v>0</v>
      </c>
      <c r="AR34" s="224"/>
      <c r="AS34" s="224"/>
      <c r="AT34" s="224"/>
      <c r="AU34" s="260"/>
      <c r="AV34" s="253">
        <f t="shared" si="29"/>
        <v>0</v>
      </c>
      <c r="AW34" s="224"/>
      <c r="AX34" s="224"/>
      <c r="AY34" s="224"/>
      <c r="AZ34" s="224"/>
      <c r="BA34" s="223">
        <f t="shared" si="30"/>
        <v>0</v>
      </c>
      <c r="BB34" s="224"/>
      <c r="BC34" s="224"/>
      <c r="BD34" s="224"/>
      <c r="BE34" s="260"/>
      <c r="BF34" s="247">
        <f t="shared" si="19"/>
        <v>0</v>
      </c>
      <c r="BG34" s="223">
        <f t="shared" si="20"/>
        <v>0</v>
      </c>
    </row>
    <row r="35" spans="1:59" ht="79.5" customHeight="1" thickBot="1">
      <c r="A35" s="229" t="s">
        <v>61</v>
      </c>
      <c r="B35" s="230" t="s">
        <v>148</v>
      </c>
      <c r="C35" s="231"/>
      <c r="D35" s="231"/>
      <c r="E35" s="231"/>
      <c r="F35" s="231"/>
      <c r="G35" s="235"/>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44"/>
      <c r="BG35" s="232"/>
    </row>
    <row r="36" spans="1:59" ht="52.5" customHeight="1">
      <c r="A36" s="217" t="s">
        <v>147</v>
      </c>
      <c r="B36" s="150" t="s">
        <v>146</v>
      </c>
      <c r="C36" s="219">
        <f t="shared" si="17"/>
        <v>0</v>
      </c>
      <c r="D36" s="219">
        <f t="shared" si="18"/>
        <v>0</v>
      </c>
      <c r="E36" s="218"/>
      <c r="F36" s="218"/>
      <c r="G36" s="241"/>
      <c r="H36" s="248">
        <f t="shared" si="21"/>
        <v>0</v>
      </c>
      <c r="I36" s="218"/>
      <c r="J36" s="218"/>
      <c r="K36" s="218"/>
      <c r="L36" s="218"/>
      <c r="M36" s="219">
        <f t="shared" ref="M36:M42" si="32">N36+O36+P36+Q36</f>
        <v>0</v>
      </c>
      <c r="N36" s="218"/>
      <c r="O36" s="218"/>
      <c r="P36" s="218"/>
      <c r="Q36" s="255"/>
      <c r="R36" s="248">
        <f t="shared" ref="R36:R42" si="33">S36+T36+U36+V36</f>
        <v>0</v>
      </c>
      <c r="S36" s="218"/>
      <c r="T36" s="218"/>
      <c r="U36" s="218"/>
      <c r="V36" s="218"/>
      <c r="W36" s="219">
        <f t="shared" ref="W36:W42" si="34">X36+Y36+Z36+AA36</f>
        <v>0</v>
      </c>
      <c r="X36" s="218"/>
      <c r="Y36" s="218"/>
      <c r="Z36" s="218"/>
      <c r="AA36" s="261"/>
      <c r="AB36" s="248">
        <f t="shared" ref="AB36:AB42" si="35">AC36+AD36+AE36+AF36</f>
        <v>0</v>
      </c>
      <c r="AC36" s="218"/>
      <c r="AD36" s="218"/>
      <c r="AE36" s="218"/>
      <c r="AF36" s="218"/>
      <c r="AG36" s="219">
        <f t="shared" ref="AG36:AG42" si="36">AH36+AI36+AJ36+AK36</f>
        <v>0</v>
      </c>
      <c r="AH36" s="218"/>
      <c r="AI36" s="218"/>
      <c r="AJ36" s="218"/>
      <c r="AK36" s="261"/>
      <c r="AL36" s="248">
        <f t="shared" ref="AL36:AL42" si="37">AM36+AN36+AO36+AP36</f>
        <v>0</v>
      </c>
      <c r="AM36" s="218"/>
      <c r="AN36" s="218"/>
      <c r="AO36" s="218"/>
      <c r="AP36" s="218"/>
      <c r="AQ36" s="219">
        <f t="shared" ref="AQ36:AQ42" si="38">AR36+AS36+AT36+AU36</f>
        <v>0</v>
      </c>
      <c r="AR36" s="218"/>
      <c r="AS36" s="218"/>
      <c r="AT36" s="218"/>
      <c r="AU36" s="261"/>
      <c r="AV36" s="248">
        <f t="shared" ref="AV36:AV42" si="39">AW36+AX36+AY36+AZ36</f>
        <v>0</v>
      </c>
      <c r="AW36" s="218"/>
      <c r="AX36" s="218"/>
      <c r="AY36" s="218"/>
      <c r="AZ36" s="218"/>
      <c r="BA36" s="219">
        <f t="shared" ref="BA36:BA42" si="40">BB36+BC36+BD36+BE36</f>
        <v>0</v>
      </c>
      <c r="BB36" s="218"/>
      <c r="BC36" s="218"/>
      <c r="BD36" s="218"/>
      <c r="BE36" s="261"/>
      <c r="BF36" s="245">
        <f t="shared" ref="BF36:BF42" si="41">H36+R36+AB36+AL36+AV36</f>
        <v>0</v>
      </c>
      <c r="BG36" s="219">
        <f t="shared" ref="BG36:BG42" si="42">M36+W36+AG36+AQ36+BA36</f>
        <v>0</v>
      </c>
    </row>
    <row r="37" spans="1:59" ht="32.25" customHeight="1">
      <c r="A37" s="145" t="s">
        <v>145</v>
      </c>
      <c r="B37" s="149" t="s">
        <v>135</v>
      </c>
      <c r="C37" s="195">
        <f t="shared" si="17"/>
        <v>32</v>
      </c>
      <c r="D37" s="195">
        <f t="shared" si="18"/>
        <v>0</v>
      </c>
      <c r="E37" s="146"/>
      <c r="F37" s="146"/>
      <c r="G37" s="239"/>
      <c r="H37" s="250">
        <f t="shared" si="21"/>
        <v>0</v>
      </c>
      <c r="I37" s="146"/>
      <c r="J37" s="146"/>
      <c r="K37" s="146"/>
      <c r="L37" s="146"/>
      <c r="M37" s="195">
        <f t="shared" si="32"/>
        <v>0</v>
      </c>
      <c r="N37" s="146"/>
      <c r="O37" s="146"/>
      <c r="P37" s="146"/>
      <c r="Q37" s="252"/>
      <c r="R37" s="250">
        <f t="shared" si="33"/>
        <v>0</v>
      </c>
      <c r="S37" s="146"/>
      <c r="T37" s="146"/>
      <c r="U37" s="146"/>
      <c r="V37" s="146"/>
      <c r="W37" s="195">
        <f t="shared" si="34"/>
        <v>0</v>
      </c>
      <c r="X37" s="146"/>
      <c r="Y37" s="146"/>
      <c r="Z37" s="146"/>
      <c r="AA37" s="258"/>
      <c r="AB37" s="250">
        <f t="shared" si="35"/>
        <v>32</v>
      </c>
      <c r="AC37" s="146"/>
      <c r="AD37" s="146"/>
      <c r="AE37" s="146"/>
      <c r="AF37" s="146">
        <v>32</v>
      </c>
      <c r="AG37" s="195">
        <f t="shared" si="36"/>
        <v>0</v>
      </c>
      <c r="AH37" s="146"/>
      <c r="AI37" s="146"/>
      <c r="AJ37" s="146"/>
      <c r="AK37" s="258"/>
      <c r="AL37" s="250">
        <f t="shared" si="37"/>
        <v>0</v>
      </c>
      <c r="AM37" s="146"/>
      <c r="AN37" s="146"/>
      <c r="AO37" s="146"/>
      <c r="AP37" s="146"/>
      <c r="AQ37" s="195">
        <f t="shared" si="38"/>
        <v>0</v>
      </c>
      <c r="AR37" s="146"/>
      <c r="AS37" s="146"/>
      <c r="AT37" s="146"/>
      <c r="AU37" s="258"/>
      <c r="AV37" s="250">
        <f t="shared" si="39"/>
        <v>0</v>
      </c>
      <c r="AW37" s="146"/>
      <c r="AX37" s="146"/>
      <c r="AY37" s="146"/>
      <c r="AZ37" s="146"/>
      <c r="BA37" s="195">
        <f t="shared" si="40"/>
        <v>0</v>
      </c>
      <c r="BB37" s="146"/>
      <c r="BC37" s="146"/>
      <c r="BD37" s="146"/>
      <c r="BE37" s="258"/>
      <c r="BF37" s="246">
        <f t="shared" si="41"/>
        <v>32</v>
      </c>
      <c r="BG37" s="195">
        <f t="shared" si="42"/>
        <v>0</v>
      </c>
    </row>
    <row r="38" spans="1:59" ht="35.25" customHeight="1">
      <c r="A38" s="145" t="s">
        <v>144</v>
      </c>
      <c r="B38" s="149" t="s">
        <v>133</v>
      </c>
      <c r="C38" s="195">
        <f t="shared" si="17"/>
        <v>0</v>
      </c>
      <c r="D38" s="195">
        <f t="shared" si="18"/>
        <v>0</v>
      </c>
      <c r="E38" s="146"/>
      <c r="F38" s="146"/>
      <c r="G38" s="239"/>
      <c r="H38" s="250">
        <f t="shared" si="21"/>
        <v>0</v>
      </c>
      <c r="I38" s="146"/>
      <c r="J38" s="146"/>
      <c r="K38" s="146"/>
      <c r="L38" s="146"/>
      <c r="M38" s="195">
        <f t="shared" si="32"/>
        <v>0</v>
      </c>
      <c r="N38" s="146"/>
      <c r="O38" s="146"/>
      <c r="P38" s="146"/>
      <c r="Q38" s="252"/>
      <c r="R38" s="250">
        <f t="shared" si="33"/>
        <v>0</v>
      </c>
      <c r="S38" s="146"/>
      <c r="T38" s="146"/>
      <c r="U38" s="146"/>
      <c r="V38" s="146"/>
      <c r="W38" s="195">
        <f t="shared" si="34"/>
        <v>0</v>
      </c>
      <c r="X38" s="146"/>
      <c r="Y38" s="146"/>
      <c r="Z38" s="146"/>
      <c r="AA38" s="258"/>
      <c r="AB38" s="250">
        <f t="shared" si="35"/>
        <v>0</v>
      </c>
      <c r="AC38" s="146"/>
      <c r="AD38" s="146"/>
      <c r="AE38" s="146"/>
      <c r="AF38" s="146"/>
      <c r="AG38" s="195">
        <f t="shared" si="36"/>
        <v>0</v>
      </c>
      <c r="AH38" s="146"/>
      <c r="AI38" s="146"/>
      <c r="AJ38" s="146"/>
      <c r="AK38" s="258"/>
      <c r="AL38" s="250">
        <f t="shared" si="37"/>
        <v>0</v>
      </c>
      <c r="AM38" s="146"/>
      <c r="AN38" s="146"/>
      <c r="AO38" s="146"/>
      <c r="AP38" s="146"/>
      <c r="AQ38" s="195">
        <f t="shared" si="38"/>
        <v>0</v>
      </c>
      <c r="AR38" s="146"/>
      <c r="AS38" s="146"/>
      <c r="AT38" s="146"/>
      <c r="AU38" s="258"/>
      <c r="AV38" s="250">
        <f t="shared" si="39"/>
        <v>0</v>
      </c>
      <c r="AW38" s="146"/>
      <c r="AX38" s="146"/>
      <c r="AY38" s="146"/>
      <c r="AZ38" s="146"/>
      <c r="BA38" s="195">
        <f t="shared" si="40"/>
        <v>0</v>
      </c>
      <c r="BB38" s="146"/>
      <c r="BC38" s="146"/>
      <c r="BD38" s="146"/>
      <c r="BE38" s="258"/>
      <c r="BF38" s="246">
        <f t="shared" si="41"/>
        <v>0</v>
      </c>
      <c r="BG38" s="195">
        <f t="shared" si="42"/>
        <v>0</v>
      </c>
    </row>
    <row r="39" spans="1:59" ht="49.5" customHeight="1">
      <c r="A39" s="145" t="s">
        <v>143</v>
      </c>
      <c r="B39" s="146" t="s">
        <v>131</v>
      </c>
      <c r="C39" s="195">
        <f t="shared" si="17"/>
        <v>0</v>
      </c>
      <c r="D39" s="195">
        <f t="shared" si="18"/>
        <v>0</v>
      </c>
      <c r="E39" s="146"/>
      <c r="F39" s="146"/>
      <c r="G39" s="239"/>
      <c r="H39" s="250">
        <f t="shared" si="21"/>
        <v>0</v>
      </c>
      <c r="I39" s="146"/>
      <c r="J39" s="146"/>
      <c r="K39" s="146"/>
      <c r="L39" s="146"/>
      <c r="M39" s="195">
        <f t="shared" si="32"/>
        <v>0</v>
      </c>
      <c r="N39" s="146"/>
      <c r="O39" s="146"/>
      <c r="P39" s="146"/>
      <c r="Q39" s="252"/>
      <c r="R39" s="250">
        <f t="shared" si="33"/>
        <v>0</v>
      </c>
      <c r="S39" s="146"/>
      <c r="T39" s="146"/>
      <c r="U39" s="146"/>
      <c r="V39" s="146"/>
      <c r="W39" s="195">
        <f t="shared" si="34"/>
        <v>0</v>
      </c>
      <c r="X39" s="146"/>
      <c r="Y39" s="146"/>
      <c r="Z39" s="146"/>
      <c r="AA39" s="258"/>
      <c r="AB39" s="250">
        <f t="shared" si="35"/>
        <v>0</v>
      </c>
      <c r="AC39" s="146"/>
      <c r="AD39" s="146"/>
      <c r="AE39" s="146"/>
      <c r="AF39" s="146"/>
      <c r="AG39" s="195">
        <f t="shared" si="36"/>
        <v>0</v>
      </c>
      <c r="AH39" s="146"/>
      <c r="AI39" s="146"/>
      <c r="AJ39" s="146"/>
      <c r="AK39" s="258"/>
      <c r="AL39" s="250">
        <f t="shared" si="37"/>
        <v>0</v>
      </c>
      <c r="AM39" s="146"/>
      <c r="AN39" s="146"/>
      <c r="AO39" s="146"/>
      <c r="AP39" s="146"/>
      <c r="AQ39" s="195">
        <f t="shared" si="38"/>
        <v>0</v>
      </c>
      <c r="AR39" s="146"/>
      <c r="AS39" s="146"/>
      <c r="AT39" s="146"/>
      <c r="AU39" s="258"/>
      <c r="AV39" s="250">
        <f t="shared" si="39"/>
        <v>0</v>
      </c>
      <c r="AW39" s="146"/>
      <c r="AX39" s="146"/>
      <c r="AY39" s="146"/>
      <c r="AZ39" s="146"/>
      <c r="BA39" s="195">
        <f t="shared" si="40"/>
        <v>0</v>
      </c>
      <c r="BB39" s="146"/>
      <c r="BC39" s="146"/>
      <c r="BD39" s="146"/>
      <c r="BE39" s="258"/>
      <c r="BF39" s="246">
        <f t="shared" si="41"/>
        <v>0</v>
      </c>
      <c r="BG39" s="195">
        <f t="shared" si="42"/>
        <v>0</v>
      </c>
    </row>
    <row r="40" spans="1:59" ht="52.5" customHeight="1">
      <c r="A40" s="145" t="s">
        <v>142</v>
      </c>
      <c r="B40" s="146" t="s">
        <v>129</v>
      </c>
      <c r="C40" s="195">
        <f t="shared" si="17"/>
        <v>0</v>
      </c>
      <c r="D40" s="195">
        <f t="shared" si="18"/>
        <v>0</v>
      </c>
      <c r="E40" s="146"/>
      <c r="F40" s="146"/>
      <c r="G40" s="239"/>
      <c r="H40" s="250">
        <f t="shared" si="21"/>
        <v>0</v>
      </c>
      <c r="I40" s="146"/>
      <c r="J40" s="146"/>
      <c r="K40" s="146"/>
      <c r="L40" s="146"/>
      <c r="M40" s="195">
        <f t="shared" si="32"/>
        <v>0</v>
      </c>
      <c r="N40" s="146"/>
      <c r="O40" s="146"/>
      <c r="P40" s="146"/>
      <c r="Q40" s="252"/>
      <c r="R40" s="250">
        <f t="shared" si="33"/>
        <v>0</v>
      </c>
      <c r="S40" s="146"/>
      <c r="T40" s="146"/>
      <c r="U40" s="146"/>
      <c r="V40" s="146"/>
      <c r="W40" s="195">
        <f t="shared" si="34"/>
        <v>0</v>
      </c>
      <c r="X40" s="146"/>
      <c r="Y40" s="146"/>
      <c r="Z40" s="146"/>
      <c r="AA40" s="258"/>
      <c r="AB40" s="250">
        <f t="shared" si="35"/>
        <v>0</v>
      </c>
      <c r="AC40" s="146"/>
      <c r="AD40" s="146"/>
      <c r="AE40" s="146"/>
      <c r="AF40" s="146"/>
      <c r="AG40" s="195">
        <f t="shared" si="36"/>
        <v>0</v>
      </c>
      <c r="AH40" s="146"/>
      <c r="AI40" s="146"/>
      <c r="AJ40" s="146"/>
      <c r="AK40" s="258"/>
      <c r="AL40" s="250">
        <f t="shared" si="37"/>
        <v>0</v>
      </c>
      <c r="AM40" s="146"/>
      <c r="AN40" s="146"/>
      <c r="AO40" s="146"/>
      <c r="AP40" s="146"/>
      <c r="AQ40" s="195">
        <f t="shared" si="38"/>
        <v>0</v>
      </c>
      <c r="AR40" s="146"/>
      <c r="AS40" s="146"/>
      <c r="AT40" s="146"/>
      <c r="AU40" s="258"/>
      <c r="AV40" s="250">
        <f t="shared" si="39"/>
        <v>0</v>
      </c>
      <c r="AW40" s="146"/>
      <c r="AX40" s="146"/>
      <c r="AY40" s="146"/>
      <c r="AZ40" s="146"/>
      <c r="BA40" s="195">
        <f t="shared" si="40"/>
        <v>0</v>
      </c>
      <c r="BB40" s="146"/>
      <c r="BC40" s="146"/>
      <c r="BD40" s="146"/>
      <c r="BE40" s="258"/>
      <c r="BF40" s="246">
        <f t="shared" si="41"/>
        <v>0</v>
      </c>
      <c r="BG40" s="195">
        <f t="shared" si="42"/>
        <v>0</v>
      </c>
    </row>
    <row r="41" spans="1:59" ht="30.75" customHeight="1">
      <c r="A41" s="145" t="s">
        <v>141</v>
      </c>
      <c r="B41" s="146" t="s">
        <v>127</v>
      </c>
      <c r="C41" s="195">
        <f t="shared" si="17"/>
        <v>0</v>
      </c>
      <c r="D41" s="195">
        <f t="shared" si="18"/>
        <v>0</v>
      </c>
      <c r="E41" s="146"/>
      <c r="F41" s="146"/>
      <c r="G41" s="239"/>
      <c r="H41" s="250">
        <f t="shared" si="21"/>
        <v>0</v>
      </c>
      <c r="I41" s="146"/>
      <c r="J41" s="146"/>
      <c r="K41" s="146"/>
      <c r="L41" s="146"/>
      <c r="M41" s="195">
        <f t="shared" si="32"/>
        <v>0</v>
      </c>
      <c r="N41" s="146"/>
      <c r="O41" s="146"/>
      <c r="P41" s="146"/>
      <c r="Q41" s="252"/>
      <c r="R41" s="250">
        <f t="shared" si="33"/>
        <v>0</v>
      </c>
      <c r="S41" s="146"/>
      <c r="T41" s="146"/>
      <c r="U41" s="146"/>
      <c r="V41" s="146"/>
      <c r="W41" s="195">
        <f t="shared" si="34"/>
        <v>0</v>
      </c>
      <c r="X41" s="146"/>
      <c r="Y41" s="146"/>
      <c r="Z41" s="146"/>
      <c r="AA41" s="258"/>
      <c r="AB41" s="250">
        <f t="shared" si="35"/>
        <v>0</v>
      </c>
      <c r="AC41" s="146"/>
      <c r="AD41" s="146"/>
      <c r="AE41" s="146"/>
      <c r="AF41" s="146"/>
      <c r="AG41" s="195">
        <f t="shared" si="36"/>
        <v>0</v>
      </c>
      <c r="AH41" s="146"/>
      <c r="AI41" s="146"/>
      <c r="AJ41" s="146"/>
      <c r="AK41" s="258"/>
      <c r="AL41" s="250">
        <f t="shared" si="37"/>
        <v>0</v>
      </c>
      <c r="AM41" s="146"/>
      <c r="AN41" s="146"/>
      <c r="AO41" s="146"/>
      <c r="AP41" s="146"/>
      <c r="AQ41" s="195">
        <f t="shared" si="38"/>
        <v>0</v>
      </c>
      <c r="AR41" s="146"/>
      <c r="AS41" s="146"/>
      <c r="AT41" s="146"/>
      <c r="AU41" s="258"/>
      <c r="AV41" s="250">
        <f t="shared" si="39"/>
        <v>0</v>
      </c>
      <c r="AW41" s="146"/>
      <c r="AX41" s="146"/>
      <c r="AY41" s="146"/>
      <c r="AZ41" s="146"/>
      <c r="BA41" s="195">
        <f t="shared" si="40"/>
        <v>0</v>
      </c>
      <c r="BB41" s="146"/>
      <c r="BC41" s="146"/>
      <c r="BD41" s="146"/>
      <c r="BE41" s="258"/>
      <c r="BF41" s="246">
        <f t="shared" si="41"/>
        <v>0</v>
      </c>
      <c r="BG41" s="195">
        <f t="shared" si="42"/>
        <v>0</v>
      </c>
    </row>
    <row r="42" spans="1:59" ht="34.5" customHeight="1" thickBot="1">
      <c r="A42" s="222" t="s">
        <v>140</v>
      </c>
      <c r="B42" s="228" t="s">
        <v>511</v>
      </c>
      <c r="C42" s="223">
        <f t="shared" si="17"/>
        <v>2</v>
      </c>
      <c r="D42" s="223">
        <f t="shared" si="18"/>
        <v>0</v>
      </c>
      <c r="E42" s="224"/>
      <c r="F42" s="224"/>
      <c r="G42" s="240"/>
      <c r="H42" s="253">
        <f t="shared" si="21"/>
        <v>0</v>
      </c>
      <c r="I42" s="224"/>
      <c r="J42" s="224"/>
      <c r="K42" s="224"/>
      <c r="L42" s="224"/>
      <c r="M42" s="223">
        <f t="shared" si="32"/>
        <v>0</v>
      </c>
      <c r="N42" s="224"/>
      <c r="O42" s="224"/>
      <c r="P42" s="224"/>
      <c r="Q42" s="254"/>
      <c r="R42" s="253">
        <f t="shared" si="33"/>
        <v>0</v>
      </c>
      <c r="S42" s="224"/>
      <c r="T42" s="224"/>
      <c r="U42" s="224"/>
      <c r="V42" s="224"/>
      <c r="W42" s="223">
        <f t="shared" si="34"/>
        <v>0</v>
      </c>
      <c r="X42" s="224"/>
      <c r="Y42" s="224"/>
      <c r="Z42" s="224"/>
      <c r="AA42" s="260"/>
      <c r="AB42" s="253">
        <f t="shared" si="35"/>
        <v>2</v>
      </c>
      <c r="AC42" s="224"/>
      <c r="AD42" s="224"/>
      <c r="AE42" s="224"/>
      <c r="AF42" s="224">
        <v>2</v>
      </c>
      <c r="AG42" s="223">
        <f t="shared" si="36"/>
        <v>0</v>
      </c>
      <c r="AH42" s="224"/>
      <c r="AI42" s="224"/>
      <c r="AJ42" s="224"/>
      <c r="AK42" s="260"/>
      <c r="AL42" s="253">
        <f t="shared" si="37"/>
        <v>0</v>
      </c>
      <c r="AM42" s="224"/>
      <c r="AN42" s="224"/>
      <c r="AO42" s="224"/>
      <c r="AP42" s="224"/>
      <c r="AQ42" s="223">
        <f t="shared" si="38"/>
        <v>0</v>
      </c>
      <c r="AR42" s="224"/>
      <c r="AS42" s="224"/>
      <c r="AT42" s="224"/>
      <c r="AU42" s="260"/>
      <c r="AV42" s="253">
        <f t="shared" si="39"/>
        <v>0</v>
      </c>
      <c r="AW42" s="224"/>
      <c r="AX42" s="224"/>
      <c r="AY42" s="224"/>
      <c r="AZ42" s="224"/>
      <c r="BA42" s="223">
        <f t="shared" si="40"/>
        <v>0</v>
      </c>
      <c r="BB42" s="224"/>
      <c r="BC42" s="224"/>
      <c r="BD42" s="224"/>
      <c r="BE42" s="260"/>
      <c r="BF42" s="247">
        <f t="shared" si="41"/>
        <v>2</v>
      </c>
      <c r="BG42" s="223">
        <f t="shared" si="42"/>
        <v>0</v>
      </c>
    </row>
    <row r="43" spans="1:59" ht="77.25" customHeight="1" thickBot="1">
      <c r="A43" s="229" t="s">
        <v>60</v>
      </c>
      <c r="B43" s="230" t="s">
        <v>139</v>
      </c>
      <c r="C43" s="231"/>
      <c r="D43" s="231"/>
      <c r="E43" s="231"/>
      <c r="F43" s="231"/>
      <c r="G43" s="235"/>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44"/>
      <c r="BG43" s="232"/>
    </row>
    <row r="44" spans="1:59" ht="32.25" customHeight="1">
      <c r="A44" s="217" t="s">
        <v>138</v>
      </c>
      <c r="B44" s="218" t="s">
        <v>137</v>
      </c>
      <c r="C44" s="219">
        <f t="shared" ref="C44:C50" si="43">G44+H44+R44+AB44+AL44+AV44</f>
        <v>0</v>
      </c>
      <c r="D44" s="219">
        <f t="shared" ref="D44:D50" si="44">G44+M44+W44+AG44+AQ44+BA44</f>
        <v>0</v>
      </c>
      <c r="E44" s="218"/>
      <c r="F44" s="218"/>
      <c r="G44" s="241"/>
      <c r="H44" s="248">
        <f t="shared" si="21"/>
        <v>0</v>
      </c>
      <c r="I44" s="218"/>
      <c r="J44" s="218"/>
      <c r="K44" s="218"/>
      <c r="L44" s="218"/>
      <c r="M44" s="219">
        <f t="shared" ref="M44:M50" si="45">N44+O44+P44+Q44</f>
        <v>0</v>
      </c>
      <c r="N44" s="218"/>
      <c r="O44" s="218"/>
      <c r="P44" s="218"/>
      <c r="Q44" s="255"/>
      <c r="R44" s="248">
        <f t="shared" ref="R44:R50" si="46">S44+T44+U44+V44</f>
        <v>0</v>
      </c>
      <c r="S44" s="218"/>
      <c r="T44" s="218"/>
      <c r="U44" s="218"/>
      <c r="V44" s="218"/>
      <c r="W44" s="219">
        <f t="shared" ref="W44:W50" si="47">X44+Y44+Z44+AA44</f>
        <v>0</v>
      </c>
      <c r="X44" s="218"/>
      <c r="Y44" s="218"/>
      <c r="Z44" s="218"/>
      <c r="AA44" s="261"/>
      <c r="AB44" s="248">
        <f t="shared" ref="AB44:AB50" si="48">AC44+AD44+AE44+AF44</f>
        <v>0</v>
      </c>
      <c r="AC44" s="218"/>
      <c r="AD44" s="218"/>
      <c r="AE44" s="218"/>
      <c r="AF44" s="218"/>
      <c r="AG44" s="219">
        <f t="shared" ref="AG44:AG50" si="49">AH44+AI44+AJ44+AK44</f>
        <v>0</v>
      </c>
      <c r="AH44" s="218"/>
      <c r="AI44" s="218"/>
      <c r="AJ44" s="218"/>
      <c r="AK44" s="261"/>
      <c r="AL44" s="248">
        <f t="shared" ref="AL44:AL50" si="50">AM44+AN44+AO44+AP44</f>
        <v>0</v>
      </c>
      <c r="AM44" s="218"/>
      <c r="AN44" s="218"/>
      <c r="AO44" s="218"/>
      <c r="AP44" s="219"/>
      <c r="AQ44" s="219">
        <f t="shared" ref="AQ44:AQ50" si="51">AR44+AS44+AT44+AU44</f>
        <v>0</v>
      </c>
      <c r="AR44" s="218"/>
      <c r="AS44" s="218"/>
      <c r="AT44" s="218"/>
      <c r="AU44" s="261"/>
      <c r="AV44" s="248">
        <f t="shared" ref="AV44:AV50" si="52">AW44+AX44+AY44+AZ44</f>
        <v>0</v>
      </c>
      <c r="AW44" s="218"/>
      <c r="AX44" s="218"/>
      <c r="AY44" s="218"/>
      <c r="AZ44" s="218"/>
      <c r="BA44" s="219">
        <f t="shared" ref="BA44:BA50" si="53">BB44+BC44+BD44+BE44</f>
        <v>0</v>
      </c>
      <c r="BB44" s="218"/>
      <c r="BC44" s="218"/>
      <c r="BD44" s="218"/>
      <c r="BE44" s="261"/>
      <c r="BF44" s="245">
        <f t="shared" ref="BF44:BF50" si="54">H44+R44+AB44+AL44+AV44</f>
        <v>0</v>
      </c>
      <c r="BG44" s="219">
        <f t="shared" ref="BG44:BG50" si="55">M44+W44+AG44+AQ44+BA44</f>
        <v>0</v>
      </c>
    </row>
    <row r="45" spans="1:59" ht="33.75" customHeight="1">
      <c r="A45" s="145" t="s">
        <v>136</v>
      </c>
      <c r="B45" s="146" t="s">
        <v>135</v>
      </c>
      <c r="C45" s="195">
        <f t="shared" si="43"/>
        <v>32</v>
      </c>
      <c r="D45" s="195">
        <f t="shared" si="44"/>
        <v>0</v>
      </c>
      <c r="E45" s="146"/>
      <c r="F45" s="146"/>
      <c r="G45" s="239"/>
      <c r="H45" s="250">
        <f t="shared" si="21"/>
        <v>0</v>
      </c>
      <c r="I45" s="146"/>
      <c r="J45" s="146"/>
      <c r="K45" s="146"/>
      <c r="L45" s="146"/>
      <c r="M45" s="195">
        <f t="shared" si="45"/>
        <v>0</v>
      </c>
      <c r="N45" s="146"/>
      <c r="O45" s="146"/>
      <c r="P45" s="146"/>
      <c r="Q45" s="252"/>
      <c r="R45" s="250">
        <f t="shared" si="46"/>
        <v>0</v>
      </c>
      <c r="S45" s="146"/>
      <c r="T45" s="146"/>
      <c r="U45" s="146"/>
      <c r="V45" s="146"/>
      <c r="W45" s="195">
        <f t="shared" si="47"/>
        <v>0</v>
      </c>
      <c r="X45" s="146"/>
      <c r="Y45" s="146"/>
      <c r="Z45" s="146"/>
      <c r="AA45" s="258"/>
      <c r="AB45" s="250">
        <f t="shared" si="48"/>
        <v>32</v>
      </c>
      <c r="AC45" s="146"/>
      <c r="AD45" s="146"/>
      <c r="AE45" s="146"/>
      <c r="AF45" s="146">
        <f>AF37</f>
        <v>32</v>
      </c>
      <c r="AG45" s="195">
        <f t="shared" si="49"/>
        <v>0</v>
      </c>
      <c r="AH45" s="146"/>
      <c r="AI45" s="146"/>
      <c r="AJ45" s="146"/>
      <c r="AK45" s="258"/>
      <c r="AL45" s="250">
        <f t="shared" si="50"/>
        <v>0</v>
      </c>
      <c r="AM45" s="146"/>
      <c r="AN45" s="146"/>
      <c r="AO45" s="146"/>
      <c r="AP45" s="146"/>
      <c r="AQ45" s="195">
        <f t="shared" si="51"/>
        <v>0</v>
      </c>
      <c r="AR45" s="146"/>
      <c r="AS45" s="146"/>
      <c r="AT45" s="146"/>
      <c r="AU45" s="258"/>
      <c r="AV45" s="250">
        <f t="shared" si="52"/>
        <v>0</v>
      </c>
      <c r="AW45" s="146"/>
      <c r="AX45" s="146"/>
      <c r="AY45" s="146"/>
      <c r="AZ45" s="146"/>
      <c r="BA45" s="195">
        <f t="shared" si="53"/>
        <v>0</v>
      </c>
      <c r="BB45" s="146"/>
      <c r="BC45" s="146"/>
      <c r="BD45" s="146"/>
      <c r="BE45" s="258"/>
      <c r="BF45" s="246">
        <f t="shared" si="54"/>
        <v>32</v>
      </c>
      <c r="BG45" s="195">
        <f t="shared" si="55"/>
        <v>0</v>
      </c>
    </row>
    <row r="46" spans="1:59" ht="29.25" customHeight="1">
      <c r="A46" s="145" t="s">
        <v>134</v>
      </c>
      <c r="B46" s="146" t="s">
        <v>133</v>
      </c>
      <c r="C46" s="195">
        <f t="shared" si="43"/>
        <v>0</v>
      </c>
      <c r="D46" s="195">
        <f t="shared" si="44"/>
        <v>0</v>
      </c>
      <c r="E46" s="146"/>
      <c r="F46" s="146"/>
      <c r="G46" s="239"/>
      <c r="H46" s="250">
        <f t="shared" si="21"/>
        <v>0</v>
      </c>
      <c r="I46" s="146"/>
      <c r="J46" s="146"/>
      <c r="K46" s="146"/>
      <c r="L46" s="146"/>
      <c r="M46" s="195">
        <f t="shared" si="45"/>
        <v>0</v>
      </c>
      <c r="N46" s="146"/>
      <c r="O46" s="146"/>
      <c r="P46" s="146"/>
      <c r="Q46" s="252"/>
      <c r="R46" s="250">
        <f t="shared" si="46"/>
        <v>0</v>
      </c>
      <c r="S46" s="146"/>
      <c r="T46" s="146"/>
      <c r="U46" s="146"/>
      <c r="V46" s="146"/>
      <c r="W46" s="195">
        <f t="shared" si="47"/>
        <v>0</v>
      </c>
      <c r="X46" s="146"/>
      <c r="Y46" s="146"/>
      <c r="Z46" s="146"/>
      <c r="AA46" s="258"/>
      <c r="AB46" s="250">
        <f t="shared" si="48"/>
        <v>0</v>
      </c>
      <c r="AC46" s="146"/>
      <c r="AD46" s="146"/>
      <c r="AE46" s="146"/>
      <c r="AF46" s="146"/>
      <c r="AG46" s="195">
        <f t="shared" si="49"/>
        <v>0</v>
      </c>
      <c r="AH46" s="146"/>
      <c r="AI46" s="146"/>
      <c r="AJ46" s="146"/>
      <c r="AK46" s="258"/>
      <c r="AL46" s="250">
        <f t="shared" si="50"/>
        <v>0</v>
      </c>
      <c r="AM46" s="146"/>
      <c r="AN46" s="146"/>
      <c r="AO46" s="146"/>
      <c r="AP46" s="146"/>
      <c r="AQ46" s="195">
        <f t="shared" si="51"/>
        <v>0</v>
      </c>
      <c r="AR46" s="146"/>
      <c r="AS46" s="146"/>
      <c r="AT46" s="146"/>
      <c r="AU46" s="258"/>
      <c r="AV46" s="250">
        <f t="shared" si="52"/>
        <v>0</v>
      </c>
      <c r="AW46" s="146"/>
      <c r="AX46" s="146"/>
      <c r="AY46" s="146"/>
      <c r="AZ46" s="146"/>
      <c r="BA46" s="195">
        <f t="shared" si="53"/>
        <v>0</v>
      </c>
      <c r="BB46" s="146"/>
      <c r="BC46" s="146"/>
      <c r="BD46" s="146"/>
      <c r="BE46" s="258"/>
      <c r="BF46" s="246">
        <f t="shared" si="54"/>
        <v>0</v>
      </c>
      <c r="BG46" s="195">
        <f t="shared" si="55"/>
        <v>0</v>
      </c>
    </row>
    <row r="47" spans="1:59" ht="54" customHeight="1">
      <c r="A47" s="145" t="s">
        <v>132</v>
      </c>
      <c r="B47" s="146" t="s">
        <v>131</v>
      </c>
      <c r="C47" s="195">
        <f t="shared" si="43"/>
        <v>0</v>
      </c>
      <c r="D47" s="195">
        <f t="shared" si="44"/>
        <v>0</v>
      </c>
      <c r="E47" s="146"/>
      <c r="F47" s="146"/>
      <c r="G47" s="239"/>
      <c r="H47" s="250">
        <f t="shared" si="21"/>
        <v>0</v>
      </c>
      <c r="I47" s="146"/>
      <c r="J47" s="146"/>
      <c r="K47" s="146"/>
      <c r="L47" s="146"/>
      <c r="M47" s="195">
        <f t="shared" si="45"/>
        <v>0</v>
      </c>
      <c r="N47" s="146"/>
      <c r="O47" s="146"/>
      <c r="P47" s="146"/>
      <c r="Q47" s="252"/>
      <c r="R47" s="250">
        <f t="shared" si="46"/>
        <v>0</v>
      </c>
      <c r="S47" s="146"/>
      <c r="T47" s="146"/>
      <c r="U47" s="146"/>
      <c r="V47" s="146"/>
      <c r="W47" s="195">
        <f t="shared" si="47"/>
        <v>0</v>
      </c>
      <c r="X47" s="146"/>
      <c r="Y47" s="146"/>
      <c r="Z47" s="146"/>
      <c r="AA47" s="258"/>
      <c r="AB47" s="250">
        <f t="shared" si="48"/>
        <v>0</v>
      </c>
      <c r="AC47" s="146"/>
      <c r="AD47" s="146"/>
      <c r="AE47" s="146"/>
      <c r="AF47" s="146"/>
      <c r="AG47" s="195">
        <f t="shared" si="49"/>
        <v>0</v>
      </c>
      <c r="AH47" s="146"/>
      <c r="AI47" s="146"/>
      <c r="AJ47" s="146"/>
      <c r="AK47" s="258"/>
      <c r="AL47" s="250">
        <f t="shared" si="50"/>
        <v>0</v>
      </c>
      <c r="AM47" s="146"/>
      <c r="AN47" s="146"/>
      <c r="AO47" s="146"/>
      <c r="AP47" s="147"/>
      <c r="AQ47" s="195">
        <f t="shared" si="51"/>
        <v>0</v>
      </c>
      <c r="AR47" s="146"/>
      <c r="AS47" s="146"/>
      <c r="AT47" s="146"/>
      <c r="AU47" s="258"/>
      <c r="AV47" s="250">
        <f t="shared" si="52"/>
        <v>0</v>
      </c>
      <c r="AW47" s="146"/>
      <c r="AX47" s="146"/>
      <c r="AY47" s="146"/>
      <c r="AZ47" s="146"/>
      <c r="BA47" s="195">
        <f t="shared" si="53"/>
        <v>0</v>
      </c>
      <c r="BB47" s="146"/>
      <c r="BC47" s="146"/>
      <c r="BD47" s="146"/>
      <c r="BE47" s="258"/>
      <c r="BF47" s="246">
        <f t="shared" si="54"/>
        <v>0</v>
      </c>
      <c r="BG47" s="195">
        <f t="shared" si="55"/>
        <v>0</v>
      </c>
    </row>
    <row r="48" spans="1:59" ht="52.5" customHeight="1">
      <c r="A48" s="145" t="s">
        <v>130</v>
      </c>
      <c r="B48" s="146" t="s">
        <v>129</v>
      </c>
      <c r="C48" s="195">
        <f t="shared" si="43"/>
        <v>0</v>
      </c>
      <c r="D48" s="195">
        <f t="shared" si="44"/>
        <v>0</v>
      </c>
      <c r="E48" s="146"/>
      <c r="F48" s="146"/>
      <c r="G48" s="239"/>
      <c r="H48" s="250">
        <f t="shared" si="21"/>
        <v>0</v>
      </c>
      <c r="I48" s="146"/>
      <c r="J48" s="146"/>
      <c r="K48" s="146"/>
      <c r="L48" s="146"/>
      <c r="M48" s="195">
        <f t="shared" si="45"/>
        <v>0</v>
      </c>
      <c r="N48" s="146"/>
      <c r="O48" s="146"/>
      <c r="P48" s="146"/>
      <c r="Q48" s="252"/>
      <c r="R48" s="250">
        <f t="shared" si="46"/>
        <v>0</v>
      </c>
      <c r="S48" s="146"/>
      <c r="T48" s="146"/>
      <c r="U48" s="146"/>
      <c r="V48" s="146"/>
      <c r="W48" s="195">
        <f t="shared" si="47"/>
        <v>0</v>
      </c>
      <c r="X48" s="146"/>
      <c r="Y48" s="146"/>
      <c r="Z48" s="146"/>
      <c r="AA48" s="258"/>
      <c r="AB48" s="250">
        <f t="shared" si="48"/>
        <v>0</v>
      </c>
      <c r="AC48" s="146"/>
      <c r="AD48" s="146"/>
      <c r="AE48" s="146"/>
      <c r="AF48" s="146"/>
      <c r="AG48" s="195">
        <f t="shared" si="49"/>
        <v>0</v>
      </c>
      <c r="AH48" s="146"/>
      <c r="AI48" s="146"/>
      <c r="AJ48" s="146"/>
      <c r="AK48" s="258"/>
      <c r="AL48" s="250">
        <f t="shared" si="50"/>
        <v>0</v>
      </c>
      <c r="AM48" s="146"/>
      <c r="AN48" s="146"/>
      <c r="AO48" s="146"/>
      <c r="AP48" s="146"/>
      <c r="AQ48" s="195">
        <f t="shared" si="51"/>
        <v>0</v>
      </c>
      <c r="AR48" s="146"/>
      <c r="AS48" s="146"/>
      <c r="AT48" s="146"/>
      <c r="AU48" s="258"/>
      <c r="AV48" s="250">
        <f t="shared" si="52"/>
        <v>0</v>
      </c>
      <c r="AW48" s="146"/>
      <c r="AX48" s="146"/>
      <c r="AY48" s="146"/>
      <c r="AZ48" s="146"/>
      <c r="BA48" s="195">
        <f t="shared" si="53"/>
        <v>0</v>
      </c>
      <c r="BB48" s="146"/>
      <c r="BC48" s="146"/>
      <c r="BD48" s="146"/>
      <c r="BE48" s="258"/>
      <c r="BF48" s="246">
        <f t="shared" si="54"/>
        <v>0</v>
      </c>
      <c r="BG48" s="195">
        <f t="shared" si="55"/>
        <v>0</v>
      </c>
    </row>
    <row r="49" spans="1:59" ht="41.25" customHeight="1">
      <c r="A49" s="145" t="s">
        <v>128</v>
      </c>
      <c r="B49" s="146" t="s">
        <v>127</v>
      </c>
      <c r="C49" s="195">
        <f t="shared" si="43"/>
        <v>0</v>
      </c>
      <c r="D49" s="195">
        <f t="shared" si="44"/>
        <v>0</v>
      </c>
      <c r="E49" s="146"/>
      <c r="F49" s="146"/>
      <c r="G49" s="239"/>
      <c r="H49" s="250">
        <f t="shared" si="21"/>
        <v>0</v>
      </c>
      <c r="I49" s="146"/>
      <c r="J49" s="146"/>
      <c r="K49" s="146"/>
      <c r="L49" s="146"/>
      <c r="M49" s="195">
        <f t="shared" si="45"/>
        <v>0</v>
      </c>
      <c r="N49" s="146"/>
      <c r="O49" s="146"/>
      <c r="P49" s="146"/>
      <c r="Q49" s="252"/>
      <c r="R49" s="250">
        <f t="shared" si="46"/>
        <v>0</v>
      </c>
      <c r="S49" s="146"/>
      <c r="T49" s="146"/>
      <c r="U49" s="146"/>
      <c r="V49" s="146">
        <f>V41</f>
        <v>0</v>
      </c>
      <c r="W49" s="195">
        <f t="shared" si="47"/>
        <v>0</v>
      </c>
      <c r="X49" s="146"/>
      <c r="Y49" s="146"/>
      <c r="Z49" s="146"/>
      <c r="AA49" s="258"/>
      <c r="AB49" s="250">
        <f t="shared" si="48"/>
        <v>0</v>
      </c>
      <c r="AC49" s="146"/>
      <c r="AD49" s="146"/>
      <c r="AE49" s="146"/>
      <c r="AF49" s="146"/>
      <c r="AG49" s="195">
        <f t="shared" si="49"/>
        <v>0</v>
      </c>
      <c r="AH49" s="146"/>
      <c r="AI49" s="146"/>
      <c r="AJ49" s="146"/>
      <c r="AK49" s="258"/>
      <c r="AL49" s="250">
        <f t="shared" si="50"/>
        <v>0</v>
      </c>
      <c r="AM49" s="146"/>
      <c r="AN49" s="146"/>
      <c r="AO49" s="146"/>
      <c r="AP49" s="146"/>
      <c r="AQ49" s="195">
        <f t="shared" si="51"/>
        <v>0</v>
      </c>
      <c r="AR49" s="146"/>
      <c r="AS49" s="146"/>
      <c r="AT49" s="146"/>
      <c r="AU49" s="258"/>
      <c r="AV49" s="250">
        <f t="shared" si="52"/>
        <v>0</v>
      </c>
      <c r="AW49" s="146"/>
      <c r="AX49" s="146"/>
      <c r="AY49" s="146"/>
      <c r="AZ49" s="146"/>
      <c r="BA49" s="195">
        <f t="shared" si="53"/>
        <v>0</v>
      </c>
      <c r="BB49" s="146"/>
      <c r="BC49" s="146"/>
      <c r="BD49" s="146"/>
      <c r="BE49" s="258"/>
      <c r="BF49" s="246">
        <f t="shared" si="54"/>
        <v>0</v>
      </c>
      <c r="BG49" s="195">
        <f t="shared" si="55"/>
        <v>0</v>
      </c>
    </row>
    <row r="50" spans="1:59" ht="40.5" customHeight="1" thickBot="1">
      <c r="A50" s="222" t="s">
        <v>126</v>
      </c>
      <c r="B50" s="228" t="s">
        <v>511</v>
      </c>
      <c r="C50" s="223">
        <f t="shared" si="43"/>
        <v>2</v>
      </c>
      <c r="D50" s="223">
        <f t="shared" si="44"/>
        <v>0</v>
      </c>
      <c r="E50" s="224"/>
      <c r="F50" s="224"/>
      <c r="G50" s="240"/>
      <c r="H50" s="253">
        <f t="shared" si="21"/>
        <v>0</v>
      </c>
      <c r="I50" s="224"/>
      <c r="J50" s="224"/>
      <c r="K50" s="224"/>
      <c r="L50" s="224"/>
      <c r="M50" s="223">
        <f t="shared" si="45"/>
        <v>0</v>
      </c>
      <c r="N50" s="224"/>
      <c r="O50" s="224"/>
      <c r="P50" s="224"/>
      <c r="Q50" s="254"/>
      <c r="R50" s="253">
        <f t="shared" si="46"/>
        <v>0</v>
      </c>
      <c r="S50" s="224"/>
      <c r="T50" s="224"/>
      <c r="U50" s="224"/>
      <c r="V50" s="224"/>
      <c r="W50" s="223">
        <f t="shared" si="47"/>
        <v>0</v>
      </c>
      <c r="X50" s="224"/>
      <c r="Y50" s="224"/>
      <c r="Z50" s="224"/>
      <c r="AA50" s="260"/>
      <c r="AB50" s="253">
        <f t="shared" si="48"/>
        <v>2</v>
      </c>
      <c r="AC50" s="224"/>
      <c r="AD50" s="224"/>
      <c r="AE50" s="224"/>
      <c r="AF50" s="224">
        <f>AF42</f>
        <v>2</v>
      </c>
      <c r="AG50" s="223">
        <f t="shared" si="49"/>
        <v>0</v>
      </c>
      <c r="AH50" s="224"/>
      <c r="AI50" s="224"/>
      <c r="AJ50" s="224"/>
      <c r="AK50" s="260"/>
      <c r="AL50" s="253">
        <f t="shared" si="50"/>
        <v>0</v>
      </c>
      <c r="AM50" s="224"/>
      <c r="AN50" s="224"/>
      <c r="AO50" s="224"/>
      <c r="AP50" s="224"/>
      <c r="AQ50" s="223">
        <f t="shared" si="51"/>
        <v>0</v>
      </c>
      <c r="AR50" s="224"/>
      <c r="AS50" s="224"/>
      <c r="AT50" s="224"/>
      <c r="AU50" s="260"/>
      <c r="AV50" s="253">
        <f t="shared" si="52"/>
        <v>0</v>
      </c>
      <c r="AW50" s="224"/>
      <c r="AX50" s="224"/>
      <c r="AY50" s="224"/>
      <c r="AZ50" s="224"/>
      <c r="BA50" s="223">
        <f t="shared" si="53"/>
        <v>0</v>
      </c>
      <c r="BB50" s="224"/>
      <c r="BC50" s="224"/>
      <c r="BD50" s="224"/>
      <c r="BE50" s="260"/>
      <c r="BF50" s="247">
        <f t="shared" si="54"/>
        <v>2</v>
      </c>
      <c r="BG50" s="223">
        <f t="shared" si="55"/>
        <v>0</v>
      </c>
    </row>
    <row r="51" spans="1:59" ht="56.25" customHeight="1" thickBot="1">
      <c r="A51" s="229" t="s">
        <v>58</v>
      </c>
      <c r="B51" s="230" t="s">
        <v>125</v>
      </c>
      <c r="C51" s="231">
        <f>C52</f>
        <v>212.71333333333334</v>
      </c>
      <c r="D51" s="231">
        <f t="shared" ref="D51:BG51" si="56">D52</f>
        <v>0</v>
      </c>
      <c r="E51" s="231">
        <f t="shared" si="56"/>
        <v>0</v>
      </c>
      <c r="F51" s="231">
        <f t="shared" si="56"/>
        <v>0</v>
      </c>
      <c r="G51" s="235">
        <f t="shared" si="56"/>
        <v>0</v>
      </c>
      <c r="H51" s="231">
        <f t="shared" si="56"/>
        <v>0</v>
      </c>
      <c r="I51" s="231">
        <f t="shared" si="56"/>
        <v>0</v>
      </c>
      <c r="J51" s="231">
        <f t="shared" si="56"/>
        <v>0</v>
      </c>
      <c r="K51" s="231">
        <f t="shared" si="56"/>
        <v>0</v>
      </c>
      <c r="L51" s="231">
        <f t="shared" si="56"/>
        <v>0</v>
      </c>
      <c r="M51" s="231">
        <f t="shared" si="56"/>
        <v>0</v>
      </c>
      <c r="N51" s="231">
        <f t="shared" si="56"/>
        <v>0</v>
      </c>
      <c r="O51" s="231">
        <f t="shared" si="56"/>
        <v>0</v>
      </c>
      <c r="P51" s="231">
        <f t="shared" si="56"/>
        <v>0</v>
      </c>
      <c r="Q51" s="231">
        <f t="shared" si="56"/>
        <v>0</v>
      </c>
      <c r="R51" s="231">
        <f t="shared" si="56"/>
        <v>0</v>
      </c>
      <c r="S51" s="231">
        <f t="shared" si="56"/>
        <v>0</v>
      </c>
      <c r="T51" s="231">
        <f t="shared" si="56"/>
        <v>0</v>
      </c>
      <c r="U51" s="231">
        <f t="shared" si="56"/>
        <v>0</v>
      </c>
      <c r="V51" s="231">
        <f t="shared" si="56"/>
        <v>0</v>
      </c>
      <c r="W51" s="231">
        <f t="shared" si="56"/>
        <v>0</v>
      </c>
      <c r="X51" s="231">
        <f t="shared" si="56"/>
        <v>0</v>
      </c>
      <c r="Y51" s="231">
        <f t="shared" si="56"/>
        <v>0</v>
      </c>
      <c r="Z51" s="231">
        <f t="shared" si="56"/>
        <v>0</v>
      </c>
      <c r="AA51" s="231">
        <f t="shared" si="56"/>
        <v>0</v>
      </c>
      <c r="AB51" s="231">
        <f t="shared" si="56"/>
        <v>212.71333333333334</v>
      </c>
      <c r="AC51" s="231">
        <f t="shared" si="56"/>
        <v>0</v>
      </c>
      <c r="AD51" s="231">
        <f t="shared" si="56"/>
        <v>0</v>
      </c>
      <c r="AE51" s="231">
        <f t="shared" si="56"/>
        <v>0</v>
      </c>
      <c r="AF51" s="231">
        <f t="shared" si="56"/>
        <v>212.71333333333334</v>
      </c>
      <c r="AG51" s="231">
        <f t="shared" si="56"/>
        <v>0</v>
      </c>
      <c r="AH51" s="231">
        <f t="shared" si="56"/>
        <v>0</v>
      </c>
      <c r="AI51" s="231">
        <f t="shared" si="56"/>
        <v>0</v>
      </c>
      <c r="AJ51" s="231">
        <f t="shared" si="56"/>
        <v>0</v>
      </c>
      <c r="AK51" s="231">
        <f t="shared" si="56"/>
        <v>0</v>
      </c>
      <c r="AL51" s="231">
        <f t="shared" si="56"/>
        <v>0</v>
      </c>
      <c r="AM51" s="231">
        <f t="shared" si="56"/>
        <v>0</v>
      </c>
      <c r="AN51" s="231">
        <f t="shared" si="56"/>
        <v>0</v>
      </c>
      <c r="AO51" s="231">
        <f t="shared" si="56"/>
        <v>0</v>
      </c>
      <c r="AP51" s="231">
        <f t="shared" si="56"/>
        <v>0</v>
      </c>
      <c r="AQ51" s="231">
        <f t="shared" si="56"/>
        <v>0</v>
      </c>
      <c r="AR51" s="231">
        <f t="shared" si="56"/>
        <v>0</v>
      </c>
      <c r="AS51" s="231">
        <f t="shared" si="56"/>
        <v>0</v>
      </c>
      <c r="AT51" s="231">
        <f t="shared" si="56"/>
        <v>0</v>
      </c>
      <c r="AU51" s="231">
        <f t="shared" si="56"/>
        <v>0</v>
      </c>
      <c r="AV51" s="231">
        <f t="shared" si="56"/>
        <v>0</v>
      </c>
      <c r="AW51" s="231">
        <f t="shared" si="56"/>
        <v>0</v>
      </c>
      <c r="AX51" s="231">
        <f t="shared" si="56"/>
        <v>0</v>
      </c>
      <c r="AY51" s="231">
        <f t="shared" si="56"/>
        <v>0</v>
      </c>
      <c r="AZ51" s="231">
        <f t="shared" si="56"/>
        <v>0</v>
      </c>
      <c r="BA51" s="231">
        <f t="shared" si="56"/>
        <v>0</v>
      </c>
      <c r="BB51" s="231">
        <f t="shared" si="56"/>
        <v>0</v>
      </c>
      <c r="BC51" s="231">
        <f t="shared" si="56"/>
        <v>0</v>
      </c>
      <c r="BD51" s="231">
        <f t="shared" si="56"/>
        <v>0</v>
      </c>
      <c r="BE51" s="231">
        <f t="shared" si="56"/>
        <v>0</v>
      </c>
      <c r="BF51" s="244">
        <f t="shared" si="56"/>
        <v>212.71333333333334</v>
      </c>
      <c r="BG51" s="232">
        <f t="shared" si="56"/>
        <v>0</v>
      </c>
    </row>
    <row r="52" spans="1:59" ht="30.75" customHeight="1">
      <c r="A52" s="217" t="s">
        <v>124</v>
      </c>
      <c r="B52" s="218" t="s">
        <v>123</v>
      </c>
      <c r="C52" s="219">
        <f t="shared" ref="C52:C57" si="57">G52+H52+R52+AB52+AL52+AV52</f>
        <v>212.71333333333334</v>
      </c>
      <c r="D52" s="219">
        <f t="shared" ref="D52:D57" si="58">G52+M52+W52+AG52+AQ52+BA52</f>
        <v>0</v>
      </c>
      <c r="E52" s="178"/>
      <c r="F52" s="178"/>
      <c r="G52" s="241"/>
      <c r="H52" s="248">
        <f t="shared" si="21"/>
        <v>0</v>
      </c>
      <c r="I52" s="218"/>
      <c r="J52" s="218"/>
      <c r="K52" s="218"/>
      <c r="L52" s="218"/>
      <c r="M52" s="219">
        <f t="shared" ref="M52:M57" si="59">N52+O52+P52+Q52</f>
        <v>0</v>
      </c>
      <c r="N52" s="218"/>
      <c r="O52" s="218"/>
      <c r="P52" s="218"/>
      <c r="Q52" s="255"/>
      <c r="R52" s="248">
        <f t="shared" ref="R52:R57" si="60">S52+T52+U52+V52</f>
        <v>0</v>
      </c>
      <c r="S52" s="218"/>
      <c r="T52" s="218"/>
      <c r="U52" s="218"/>
      <c r="V52" s="327">
        <v>0</v>
      </c>
      <c r="W52" s="219">
        <f t="shared" ref="W52:W57" si="61">X52+Y52+Z52+AA52</f>
        <v>0</v>
      </c>
      <c r="X52" s="218"/>
      <c r="Y52" s="218"/>
      <c r="Z52" s="218"/>
      <c r="AA52" s="261"/>
      <c r="AB52" s="248">
        <f t="shared" ref="AB52:AB57" si="62">AC52+AD52+AE52+AF52</f>
        <v>212.71333333333334</v>
      </c>
      <c r="AC52" s="218"/>
      <c r="AD52" s="218"/>
      <c r="AE52" s="218"/>
      <c r="AF52" s="327">
        <f>C30</f>
        <v>212.71333333333334</v>
      </c>
      <c r="AG52" s="219">
        <f t="shared" ref="AG52:AG57" si="63">AH52+AI52+AJ52+AK52</f>
        <v>0</v>
      </c>
      <c r="AH52" s="218"/>
      <c r="AI52" s="218"/>
      <c r="AJ52" s="218"/>
      <c r="AK52" s="261"/>
      <c r="AL52" s="248">
        <f t="shared" ref="AL52:AL57" si="64">AM52+AN52+AO52+AP52</f>
        <v>0</v>
      </c>
      <c r="AM52" s="218"/>
      <c r="AN52" s="218"/>
      <c r="AO52" s="218"/>
      <c r="AP52" s="219"/>
      <c r="AQ52" s="219">
        <f t="shared" ref="AQ52:AQ57" si="65">AR52+AS52+AT52+AU52</f>
        <v>0</v>
      </c>
      <c r="AR52" s="218"/>
      <c r="AS52" s="218"/>
      <c r="AT52" s="218"/>
      <c r="AU52" s="261"/>
      <c r="AV52" s="248">
        <f t="shared" ref="AV52:AV57" si="66">AW52+AX52+AY52+AZ52</f>
        <v>0</v>
      </c>
      <c r="AW52" s="218"/>
      <c r="AX52" s="218"/>
      <c r="AY52" s="218"/>
      <c r="AZ52" s="218"/>
      <c r="BA52" s="219">
        <f t="shared" ref="BA52:BA57" si="67">BB52+BC52+BD52+BE52</f>
        <v>0</v>
      </c>
      <c r="BB52" s="218"/>
      <c r="BC52" s="218"/>
      <c r="BD52" s="218"/>
      <c r="BE52" s="261"/>
      <c r="BF52" s="245">
        <f t="shared" ref="BF52:BF57" si="68">H52+R52+AB52+AL52+AV52</f>
        <v>212.71333333333334</v>
      </c>
      <c r="BG52" s="219">
        <f t="shared" ref="BG52:BG57" si="69">M52+W52+AG52+AQ52+BA52</f>
        <v>0</v>
      </c>
    </row>
    <row r="53" spans="1:59" ht="23.25" customHeight="1">
      <c r="A53" s="145" t="s">
        <v>122</v>
      </c>
      <c r="B53" s="146" t="s">
        <v>116</v>
      </c>
      <c r="C53" s="195">
        <f t="shared" si="57"/>
        <v>0</v>
      </c>
      <c r="D53" s="195">
        <f t="shared" si="58"/>
        <v>0</v>
      </c>
      <c r="E53" s="142"/>
      <c r="F53" s="142"/>
      <c r="G53" s="239"/>
      <c r="H53" s="250">
        <f t="shared" si="21"/>
        <v>0</v>
      </c>
      <c r="I53" s="146"/>
      <c r="J53" s="146"/>
      <c r="K53" s="146"/>
      <c r="L53" s="146"/>
      <c r="M53" s="195">
        <f t="shared" si="59"/>
        <v>0</v>
      </c>
      <c r="N53" s="146"/>
      <c r="O53" s="146"/>
      <c r="P53" s="146"/>
      <c r="Q53" s="252"/>
      <c r="R53" s="250">
        <f t="shared" si="60"/>
        <v>0</v>
      </c>
      <c r="S53" s="146"/>
      <c r="T53" s="146"/>
      <c r="U53" s="146"/>
      <c r="V53" s="146"/>
      <c r="W53" s="195">
        <f t="shared" si="61"/>
        <v>0</v>
      </c>
      <c r="X53" s="146"/>
      <c r="Y53" s="146"/>
      <c r="Z53" s="146"/>
      <c r="AA53" s="258"/>
      <c r="AB53" s="250">
        <f t="shared" si="62"/>
        <v>0</v>
      </c>
      <c r="AC53" s="146"/>
      <c r="AD53" s="146"/>
      <c r="AE53" s="146"/>
      <c r="AF53" s="146"/>
      <c r="AG53" s="195">
        <f t="shared" si="63"/>
        <v>0</v>
      </c>
      <c r="AH53" s="146"/>
      <c r="AI53" s="146"/>
      <c r="AJ53" s="146"/>
      <c r="AK53" s="258"/>
      <c r="AL53" s="250">
        <f t="shared" si="64"/>
        <v>0</v>
      </c>
      <c r="AM53" s="146"/>
      <c r="AN53" s="146"/>
      <c r="AO53" s="146"/>
      <c r="AP53" s="146"/>
      <c r="AQ53" s="195">
        <f t="shared" si="65"/>
        <v>0</v>
      </c>
      <c r="AR53" s="146"/>
      <c r="AS53" s="146"/>
      <c r="AT53" s="146"/>
      <c r="AU53" s="258"/>
      <c r="AV53" s="250">
        <f t="shared" si="66"/>
        <v>0</v>
      </c>
      <c r="AW53" s="146"/>
      <c r="AX53" s="146"/>
      <c r="AY53" s="146"/>
      <c r="AZ53" s="146"/>
      <c r="BA53" s="195">
        <f t="shared" si="67"/>
        <v>0</v>
      </c>
      <c r="BB53" s="146"/>
      <c r="BC53" s="146"/>
      <c r="BD53" s="146"/>
      <c r="BE53" s="258"/>
      <c r="BF53" s="246">
        <f t="shared" si="68"/>
        <v>0</v>
      </c>
      <c r="BG53" s="195">
        <f t="shared" si="69"/>
        <v>0</v>
      </c>
    </row>
    <row r="54" spans="1:59" ht="27.75" customHeight="1">
      <c r="A54" s="145" t="s">
        <v>121</v>
      </c>
      <c r="B54" s="149" t="s">
        <v>115</v>
      </c>
      <c r="C54" s="195">
        <f t="shared" si="57"/>
        <v>0</v>
      </c>
      <c r="D54" s="195">
        <f t="shared" si="58"/>
        <v>0</v>
      </c>
      <c r="E54" s="142"/>
      <c r="F54" s="142"/>
      <c r="G54" s="239"/>
      <c r="H54" s="250">
        <f t="shared" si="21"/>
        <v>0</v>
      </c>
      <c r="I54" s="146"/>
      <c r="J54" s="146"/>
      <c r="K54" s="146"/>
      <c r="L54" s="146"/>
      <c r="M54" s="195">
        <f t="shared" si="59"/>
        <v>0</v>
      </c>
      <c r="N54" s="146"/>
      <c r="O54" s="146"/>
      <c r="P54" s="146"/>
      <c r="Q54" s="252"/>
      <c r="R54" s="250">
        <f t="shared" si="60"/>
        <v>0</v>
      </c>
      <c r="S54" s="146"/>
      <c r="T54" s="146"/>
      <c r="U54" s="146"/>
      <c r="V54" s="146"/>
      <c r="W54" s="195">
        <f t="shared" si="61"/>
        <v>0</v>
      </c>
      <c r="X54" s="146"/>
      <c r="Y54" s="146"/>
      <c r="Z54" s="146"/>
      <c r="AA54" s="258"/>
      <c r="AB54" s="250">
        <f t="shared" si="62"/>
        <v>0</v>
      </c>
      <c r="AC54" s="146"/>
      <c r="AD54" s="146"/>
      <c r="AE54" s="146"/>
      <c r="AF54" s="146"/>
      <c r="AG54" s="195">
        <f t="shared" si="63"/>
        <v>0</v>
      </c>
      <c r="AH54" s="146"/>
      <c r="AI54" s="146"/>
      <c r="AJ54" s="146"/>
      <c r="AK54" s="258"/>
      <c r="AL54" s="250">
        <f t="shared" si="64"/>
        <v>0</v>
      </c>
      <c r="AM54" s="146"/>
      <c r="AN54" s="146"/>
      <c r="AO54" s="146"/>
      <c r="AP54" s="146"/>
      <c r="AQ54" s="195">
        <f t="shared" si="65"/>
        <v>0</v>
      </c>
      <c r="AR54" s="146"/>
      <c r="AS54" s="146"/>
      <c r="AT54" s="146"/>
      <c r="AU54" s="258"/>
      <c r="AV54" s="250">
        <f t="shared" si="66"/>
        <v>0</v>
      </c>
      <c r="AW54" s="146"/>
      <c r="AX54" s="146"/>
      <c r="AY54" s="146"/>
      <c r="AZ54" s="146"/>
      <c r="BA54" s="195">
        <f t="shared" si="67"/>
        <v>0</v>
      </c>
      <c r="BB54" s="146"/>
      <c r="BC54" s="146"/>
      <c r="BD54" s="146"/>
      <c r="BE54" s="258"/>
      <c r="BF54" s="246">
        <f t="shared" si="68"/>
        <v>0</v>
      </c>
      <c r="BG54" s="195">
        <f t="shared" si="69"/>
        <v>0</v>
      </c>
    </row>
    <row r="55" spans="1:59" ht="29.25" customHeight="1">
      <c r="A55" s="145" t="s">
        <v>120</v>
      </c>
      <c r="B55" s="149" t="s">
        <v>114</v>
      </c>
      <c r="C55" s="195">
        <f t="shared" si="57"/>
        <v>0</v>
      </c>
      <c r="D55" s="195">
        <f t="shared" si="58"/>
        <v>0</v>
      </c>
      <c r="E55" s="142"/>
      <c r="F55" s="142"/>
      <c r="G55" s="239"/>
      <c r="H55" s="250">
        <f t="shared" si="21"/>
        <v>0</v>
      </c>
      <c r="I55" s="146"/>
      <c r="J55" s="146"/>
      <c r="K55" s="146"/>
      <c r="L55" s="146"/>
      <c r="M55" s="195">
        <f t="shared" si="59"/>
        <v>0</v>
      </c>
      <c r="N55" s="146"/>
      <c r="O55" s="146"/>
      <c r="P55" s="146"/>
      <c r="Q55" s="252"/>
      <c r="R55" s="250">
        <f t="shared" si="60"/>
        <v>0</v>
      </c>
      <c r="S55" s="146"/>
      <c r="T55" s="146"/>
      <c r="U55" s="146"/>
      <c r="V55" s="146"/>
      <c r="W55" s="195">
        <f t="shared" si="61"/>
        <v>0</v>
      </c>
      <c r="X55" s="146"/>
      <c r="Y55" s="146"/>
      <c r="Z55" s="146"/>
      <c r="AA55" s="258"/>
      <c r="AB55" s="250">
        <f t="shared" si="62"/>
        <v>0</v>
      </c>
      <c r="AC55" s="146"/>
      <c r="AD55" s="146"/>
      <c r="AE55" s="146"/>
      <c r="AF55" s="146"/>
      <c r="AG55" s="195">
        <f t="shared" si="63"/>
        <v>0</v>
      </c>
      <c r="AH55" s="146"/>
      <c r="AI55" s="146"/>
      <c r="AJ55" s="146"/>
      <c r="AK55" s="258"/>
      <c r="AL55" s="250">
        <f t="shared" si="64"/>
        <v>0</v>
      </c>
      <c r="AM55" s="146"/>
      <c r="AN55" s="146"/>
      <c r="AO55" s="146"/>
      <c r="AP55" s="146"/>
      <c r="AQ55" s="195">
        <f t="shared" si="65"/>
        <v>0</v>
      </c>
      <c r="AR55" s="146"/>
      <c r="AS55" s="146"/>
      <c r="AT55" s="146"/>
      <c r="AU55" s="258"/>
      <c r="AV55" s="250">
        <f t="shared" si="66"/>
        <v>0</v>
      </c>
      <c r="AW55" s="146"/>
      <c r="AX55" s="146"/>
      <c r="AY55" s="146"/>
      <c r="AZ55" s="146"/>
      <c r="BA55" s="195">
        <f t="shared" si="67"/>
        <v>0</v>
      </c>
      <c r="BB55" s="146"/>
      <c r="BC55" s="146"/>
      <c r="BD55" s="146"/>
      <c r="BE55" s="258"/>
      <c r="BF55" s="246">
        <f t="shared" si="68"/>
        <v>0</v>
      </c>
      <c r="BG55" s="195">
        <f t="shared" si="69"/>
        <v>0</v>
      </c>
    </row>
    <row r="56" spans="1:59" ht="26.25" customHeight="1">
      <c r="A56" s="145" t="s">
        <v>119</v>
      </c>
      <c r="B56" s="149" t="s">
        <v>113</v>
      </c>
      <c r="C56" s="195">
        <f t="shared" si="57"/>
        <v>0</v>
      </c>
      <c r="D56" s="195">
        <f t="shared" si="58"/>
        <v>0</v>
      </c>
      <c r="E56" s="142"/>
      <c r="F56" s="142"/>
      <c r="G56" s="239"/>
      <c r="H56" s="250">
        <f t="shared" si="21"/>
        <v>0</v>
      </c>
      <c r="I56" s="146"/>
      <c r="J56" s="146"/>
      <c r="K56" s="146"/>
      <c r="L56" s="146"/>
      <c r="M56" s="195">
        <f t="shared" si="59"/>
        <v>0</v>
      </c>
      <c r="N56" s="146"/>
      <c r="O56" s="146"/>
      <c r="P56" s="146"/>
      <c r="Q56" s="252"/>
      <c r="R56" s="250">
        <f t="shared" si="60"/>
        <v>0</v>
      </c>
      <c r="S56" s="146"/>
      <c r="T56" s="146"/>
      <c r="U56" s="146"/>
      <c r="V56" s="146"/>
      <c r="W56" s="195">
        <f t="shared" si="61"/>
        <v>0</v>
      </c>
      <c r="X56" s="146"/>
      <c r="Y56" s="146"/>
      <c r="Z56" s="146"/>
      <c r="AA56" s="258"/>
      <c r="AB56" s="250">
        <f t="shared" si="62"/>
        <v>0</v>
      </c>
      <c r="AC56" s="146"/>
      <c r="AD56" s="146"/>
      <c r="AE56" s="146"/>
      <c r="AF56" s="146"/>
      <c r="AG56" s="195">
        <f t="shared" si="63"/>
        <v>0</v>
      </c>
      <c r="AH56" s="146"/>
      <c r="AI56" s="146"/>
      <c r="AJ56" s="146"/>
      <c r="AK56" s="258"/>
      <c r="AL56" s="250">
        <f t="shared" si="64"/>
        <v>0</v>
      </c>
      <c r="AM56" s="146"/>
      <c r="AN56" s="146"/>
      <c r="AO56" s="146"/>
      <c r="AP56" s="147"/>
      <c r="AQ56" s="195">
        <f t="shared" si="65"/>
        <v>0</v>
      </c>
      <c r="AR56" s="146"/>
      <c r="AS56" s="146"/>
      <c r="AT56" s="146"/>
      <c r="AU56" s="258"/>
      <c r="AV56" s="250">
        <f t="shared" si="66"/>
        <v>0</v>
      </c>
      <c r="AW56" s="146"/>
      <c r="AX56" s="146"/>
      <c r="AY56" s="146"/>
      <c r="AZ56" s="146"/>
      <c r="BA56" s="195">
        <f t="shared" si="67"/>
        <v>0</v>
      </c>
      <c r="BB56" s="146"/>
      <c r="BC56" s="146"/>
      <c r="BD56" s="146"/>
      <c r="BE56" s="258"/>
      <c r="BF56" s="246">
        <f t="shared" si="68"/>
        <v>0</v>
      </c>
      <c r="BG56" s="195">
        <f t="shared" si="69"/>
        <v>0</v>
      </c>
    </row>
    <row r="57" spans="1:59" ht="30" customHeight="1" thickBot="1">
      <c r="A57" s="222" t="s">
        <v>118</v>
      </c>
      <c r="B57" s="228" t="s">
        <v>511</v>
      </c>
      <c r="C57" s="223">
        <f t="shared" si="57"/>
        <v>0</v>
      </c>
      <c r="D57" s="223">
        <f t="shared" si="58"/>
        <v>0</v>
      </c>
      <c r="E57" s="177"/>
      <c r="F57" s="177"/>
      <c r="G57" s="240"/>
      <c r="H57" s="253">
        <f t="shared" si="21"/>
        <v>0</v>
      </c>
      <c r="I57" s="224"/>
      <c r="J57" s="224"/>
      <c r="K57" s="224"/>
      <c r="L57" s="224"/>
      <c r="M57" s="223">
        <f t="shared" si="59"/>
        <v>0</v>
      </c>
      <c r="N57" s="224"/>
      <c r="O57" s="224"/>
      <c r="P57" s="224"/>
      <c r="Q57" s="254"/>
      <c r="R57" s="253">
        <f t="shared" si="60"/>
        <v>0</v>
      </c>
      <c r="S57" s="224"/>
      <c r="T57" s="224"/>
      <c r="U57" s="224"/>
      <c r="V57" s="224"/>
      <c r="W57" s="223">
        <f t="shared" si="61"/>
        <v>0</v>
      </c>
      <c r="X57" s="224"/>
      <c r="Y57" s="224"/>
      <c r="Z57" s="224"/>
      <c r="AA57" s="260"/>
      <c r="AB57" s="253">
        <f t="shared" si="62"/>
        <v>0</v>
      </c>
      <c r="AC57" s="224"/>
      <c r="AD57" s="224"/>
      <c r="AE57" s="224"/>
      <c r="AF57" s="224"/>
      <c r="AG57" s="223">
        <f t="shared" si="63"/>
        <v>0</v>
      </c>
      <c r="AH57" s="224"/>
      <c r="AI57" s="224"/>
      <c r="AJ57" s="224"/>
      <c r="AK57" s="260"/>
      <c r="AL57" s="253">
        <f t="shared" si="64"/>
        <v>0</v>
      </c>
      <c r="AM57" s="224"/>
      <c r="AN57" s="224"/>
      <c r="AO57" s="224"/>
      <c r="AP57" s="224"/>
      <c r="AQ57" s="223">
        <f t="shared" si="65"/>
        <v>0</v>
      </c>
      <c r="AR57" s="224"/>
      <c r="AS57" s="224"/>
      <c r="AT57" s="224"/>
      <c r="AU57" s="260"/>
      <c r="AV57" s="253">
        <f t="shared" si="66"/>
        <v>0</v>
      </c>
      <c r="AW57" s="224"/>
      <c r="AX57" s="224"/>
      <c r="AY57" s="224"/>
      <c r="AZ57" s="224"/>
      <c r="BA57" s="223">
        <f t="shared" si="67"/>
        <v>0</v>
      </c>
      <c r="BB57" s="224"/>
      <c r="BC57" s="224"/>
      <c r="BD57" s="224"/>
      <c r="BE57" s="260"/>
      <c r="BF57" s="247">
        <f t="shared" si="68"/>
        <v>0</v>
      </c>
      <c r="BG57" s="223">
        <f t="shared" si="69"/>
        <v>0</v>
      </c>
    </row>
    <row r="58" spans="1:59" ht="68.25" customHeight="1" thickBot="1">
      <c r="A58" s="229" t="s">
        <v>57</v>
      </c>
      <c r="B58" s="230" t="s">
        <v>217</v>
      </c>
      <c r="C58" s="231"/>
      <c r="D58" s="231"/>
      <c r="E58" s="231"/>
      <c r="F58" s="231"/>
      <c r="G58" s="235"/>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44"/>
      <c r="BG58" s="232"/>
    </row>
    <row r="59" spans="1:59" ht="57" customHeight="1" thickBot="1">
      <c r="A59" s="229" t="s">
        <v>55</v>
      </c>
      <c r="B59" s="230" t="s">
        <v>117</v>
      </c>
      <c r="C59" s="231"/>
      <c r="D59" s="231"/>
      <c r="E59" s="231"/>
      <c r="F59" s="231"/>
      <c r="G59" s="235"/>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44"/>
      <c r="BG59" s="232"/>
    </row>
    <row r="60" spans="1:59" ht="32.25" customHeight="1">
      <c r="A60" s="217" t="s">
        <v>211</v>
      </c>
      <c r="B60" s="150" t="s">
        <v>137</v>
      </c>
      <c r="C60" s="219">
        <f t="shared" ref="C60:C64" si="70">G60+H60+R60+AB60+AL60+AV60</f>
        <v>0</v>
      </c>
      <c r="D60" s="219">
        <f t="shared" ref="D60:D64" si="71">G60+M60+W60+AG60+AQ60+BA60</f>
        <v>0</v>
      </c>
      <c r="E60" s="218"/>
      <c r="F60" s="218"/>
      <c r="G60" s="241"/>
      <c r="H60" s="248">
        <f t="shared" ref="H60:H64" si="72">I60+J60+K60+L60</f>
        <v>0</v>
      </c>
      <c r="I60" s="218"/>
      <c r="J60" s="218"/>
      <c r="K60" s="218"/>
      <c r="L60" s="218"/>
      <c r="M60" s="219">
        <f t="shared" ref="M60:M64" si="73">N60+O60+P60+Q60</f>
        <v>0</v>
      </c>
      <c r="N60" s="218"/>
      <c r="O60" s="218"/>
      <c r="P60" s="218"/>
      <c r="Q60" s="255"/>
      <c r="R60" s="248">
        <f t="shared" ref="R60:R64" si="74">S60+T60+U60+V60</f>
        <v>0</v>
      </c>
      <c r="S60" s="218"/>
      <c r="T60" s="218"/>
      <c r="U60" s="218"/>
      <c r="V60" s="218"/>
      <c r="W60" s="219">
        <f t="shared" ref="W60:W64" si="75">X60+Y60+Z60+AA60</f>
        <v>0</v>
      </c>
      <c r="X60" s="218"/>
      <c r="Y60" s="218"/>
      <c r="Z60" s="218"/>
      <c r="AA60" s="261"/>
      <c r="AB60" s="248">
        <f t="shared" ref="AB60:AB64" si="76">AC60+AD60+AE60+AF60</f>
        <v>0</v>
      </c>
      <c r="AC60" s="218"/>
      <c r="AD60" s="218"/>
      <c r="AE60" s="218"/>
      <c r="AF60" s="218"/>
      <c r="AG60" s="219">
        <f t="shared" ref="AG60:AG64" si="77">AH60+AI60+AJ60+AK60</f>
        <v>0</v>
      </c>
      <c r="AH60" s="218"/>
      <c r="AI60" s="218"/>
      <c r="AJ60" s="218"/>
      <c r="AK60" s="261"/>
      <c r="AL60" s="248">
        <f t="shared" ref="AL60:AL64" si="78">AM60+AN60+AO60+AP60</f>
        <v>0</v>
      </c>
      <c r="AM60" s="218"/>
      <c r="AN60" s="218"/>
      <c r="AO60" s="218"/>
      <c r="AP60" s="218"/>
      <c r="AQ60" s="219">
        <f t="shared" ref="AQ60:AQ64" si="79">AR60+AS60+AT60+AU60</f>
        <v>0</v>
      </c>
      <c r="AR60" s="218"/>
      <c r="AS60" s="218"/>
      <c r="AT60" s="218"/>
      <c r="AU60" s="261"/>
      <c r="AV60" s="248">
        <f t="shared" ref="AV60:AV64" si="80">AW60+AX60+AY60+AZ60</f>
        <v>0</v>
      </c>
      <c r="AW60" s="218"/>
      <c r="AX60" s="218"/>
      <c r="AY60" s="218"/>
      <c r="AZ60" s="218"/>
      <c r="BA60" s="219">
        <f t="shared" ref="BA60:BA64" si="81">BB60+BC60+BD60+BE60</f>
        <v>0</v>
      </c>
      <c r="BB60" s="218"/>
      <c r="BC60" s="218"/>
      <c r="BD60" s="218"/>
      <c r="BE60" s="261"/>
      <c r="BF60" s="245">
        <f t="shared" ref="BF60:BF64" si="82">H60+R60+AB60+AL60+AV60</f>
        <v>0</v>
      </c>
      <c r="BG60" s="219">
        <f t="shared" ref="BG60:BG64" si="83">M60+W60+AG60+AQ60+BA60</f>
        <v>0</v>
      </c>
    </row>
    <row r="61" spans="1:59" ht="26.25" customHeight="1">
      <c r="A61" s="145" t="s">
        <v>212</v>
      </c>
      <c r="B61" s="150" t="s">
        <v>135</v>
      </c>
      <c r="C61" s="195">
        <f t="shared" si="70"/>
        <v>0</v>
      </c>
      <c r="D61" s="195">
        <f t="shared" si="71"/>
        <v>0</v>
      </c>
      <c r="E61" s="146"/>
      <c r="F61" s="146"/>
      <c r="G61" s="239"/>
      <c r="H61" s="250">
        <f t="shared" si="72"/>
        <v>0</v>
      </c>
      <c r="I61" s="146"/>
      <c r="J61" s="146"/>
      <c r="K61" s="146"/>
      <c r="L61" s="146"/>
      <c r="M61" s="195">
        <f t="shared" si="73"/>
        <v>0</v>
      </c>
      <c r="N61" s="146"/>
      <c r="O61" s="146"/>
      <c r="P61" s="146"/>
      <c r="Q61" s="252"/>
      <c r="R61" s="250">
        <f t="shared" si="74"/>
        <v>0</v>
      </c>
      <c r="S61" s="146"/>
      <c r="T61" s="146"/>
      <c r="U61" s="146"/>
      <c r="V61" s="146"/>
      <c r="W61" s="195">
        <f t="shared" si="75"/>
        <v>0</v>
      </c>
      <c r="X61" s="146"/>
      <c r="Y61" s="146"/>
      <c r="Z61" s="146"/>
      <c r="AA61" s="258"/>
      <c r="AB61" s="250">
        <f t="shared" si="76"/>
        <v>0</v>
      </c>
      <c r="AC61" s="146"/>
      <c r="AD61" s="146"/>
      <c r="AE61" s="146"/>
      <c r="AF61" s="146"/>
      <c r="AG61" s="195">
        <f t="shared" si="77"/>
        <v>0</v>
      </c>
      <c r="AH61" s="146"/>
      <c r="AI61" s="146"/>
      <c r="AJ61" s="146"/>
      <c r="AK61" s="258"/>
      <c r="AL61" s="250">
        <f t="shared" si="78"/>
        <v>0</v>
      </c>
      <c r="AM61" s="146"/>
      <c r="AN61" s="146"/>
      <c r="AO61" s="146"/>
      <c r="AP61" s="146"/>
      <c r="AQ61" s="195">
        <f t="shared" si="79"/>
        <v>0</v>
      </c>
      <c r="AR61" s="146"/>
      <c r="AS61" s="146"/>
      <c r="AT61" s="146"/>
      <c r="AU61" s="258"/>
      <c r="AV61" s="250">
        <f t="shared" si="80"/>
        <v>0</v>
      </c>
      <c r="AW61" s="146"/>
      <c r="AX61" s="146"/>
      <c r="AY61" s="146"/>
      <c r="AZ61" s="146"/>
      <c r="BA61" s="195">
        <f t="shared" si="81"/>
        <v>0</v>
      </c>
      <c r="BB61" s="146"/>
      <c r="BC61" s="146"/>
      <c r="BD61" s="146"/>
      <c r="BE61" s="258"/>
      <c r="BF61" s="246">
        <f t="shared" si="82"/>
        <v>0</v>
      </c>
      <c r="BG61" s="195">
        <f t="shared" si="83"/>
        <v>0</v>
      </c>
    </row>
    <row r="62" spans="1:59" ht="33.75" customHeight="1">
      <c r="A62" s="145" t="s">
        <v>213</v>
      </c>
      <c r="B62" s="150" t="s">
        <v>133</v>
      </c>
      <c r="C62" s="195">
        <f t="shared" si="70"/>
        <v>0</v>
      </c>
      <c r="D62" s="195">
        <f t="shared" si="71"/>
        <v>0</v>
      </c>
      <c r="E62" s="146"/>
      <c r="F62" s="146"/>
      <c r="G62" s="239"/>
      <c r="H62" s="250">
        <f t="shared" si="72"/>
        <v>0</v>
      </c>
      <c r="I62" s="146"/>
      <c r="J62" s="146"/>
      <c r="K62" s="146"/>
      <c r="L62" s="146"/>
      <c r="M62" s="195">
        <f t="shared" si="73"/>
        <v>0</v>
      </c>
      <c r="N62" s="146"/>
      <c r="O62" s="146"/>
      <c r="P62" s="146"/>
      <c r="Q62" s="252"/>
      <c r="R62" s="250">
        <f t="shared" si="74"/>
        <v>0</v>
      </c>
      <c r="S62" s="146"/>
      <c r="T62" s="146"/>
      <c r="U62" s="146"/>
      <c r="V62" s="146"/>
      <c r="W62" s="195">
        <f t="shared" si="75"/>
        <v>0</v>
      </c>
      <c r="X62" s="146"/>
      <c r="Y62" s="146"/>
      <c r="Z62" s="146"/>
      <c r="AA62" s="258"/>
      <c r="AB62" s="250">
        <f t="shared" si="76"/>
        <v>0</v>
      </c>
      <c r="AC62" s="146"/>
      <c r="AD62" s="146"/>
      <c r="AE62" s="146"/>
      <c r="AF62" s="146"/>
      <c r="AG62" s="195">
        <f t="shared" si="77"/>
        <v>0</v>
      </c>
      <c r="AH62" s="146"/>
      <c r="AI62" s="146"/>
      <c r="AJ62" s="146"/>
      <c r="AK62" s="258"/>
      <c r="AL62" s="250">
        <f t="shared" si="78"/>
        <v>0</v>
      </c>
      <c r="AM62" s="146"/>
      <c r="AN62" s="146"/>
      <c r="AO62" s="146"/>
      <c r="AP62" s="146"/>
      <c r="AQ62" s="195">
        <f t="shared" si="79"/>
        <v>0</v>
      </c>
      <c r="AR62" s="146"/>
      <c r="AS62" s="146"/>
      <c r="AT62" s="146"/>
      <c r="AU62" s="258"/>
      <c r="AV62" s="250">
        <f t="shared" si="80"/>
        <v>0</v>
      </c>
      <c r="AW62" s="146"/>
      <c r="AX62" s="146"/>
      <c r="AY62" s="146"/>
      <c r="AZ62" s="146"/>
      <c r="BA62" s="195">
        <f t="shared" si="81"/>
        <v>0</v>
      </c>
      <c r="BB62" s="146"/>
      <c r="BC62" s="146"/>
      <c r="BD62" s="146"/>
      <c r="BE62" s="258"/>
      <c r="BF62" s="246">
        <f t="shared" si="82"/>
        <v>0</v>
      </c>
      <c r="BG62" s="195">
        <f t="shared" si="83"/>
        <v>0</v>
      </c>
    </row>
    <row r="63" spans="1:59" ht="30.75" customHeight="1">
      <c r="A63" s="145" t="s">
        <v>214</v>
      </c>
      <c r="B63" s="150" t="s">
        <v>216</v>
      </c>
      <c r="C63" s="195">
        <f t="shared" si="70"/>
        <v>0</v>
      </c>
      <c r="D63" s="195">
        <f t="shared" si="71"/>
        <v>0</v>
      </c>
      <c r="E63" s="146"/>
      <c r="F63" s="146"/>
      <c r="G63" s="239"/>
      <c r="H63" s="250">
        <f t="shared" si="72"/>
        <v>0</v>
      </c>
      <c r="I63" s="146"/>
      <c r="J63" s="146"/>
      <c r="K63" s="146"/>
      <c r="L63" s="146"/>
      <c r="M63" s="195">
        <f t="shared" si="73"/>
        <v>0</v>
      </c>
      <c r="N63" s="146"/>
      <c r="O63" s="146"/>
      <c r="P63" s="146"/>
      <c r="Q63" s="252"/>
      <c r="R63" s="250">
        <f t="shared" si="74"/>
        <v>0</v>
      </c>
      <c r="S63" s="146"/>
      <c r="T63" s="146"/>
      <c r="U63" s="146"/>
      <c r="V63" s="146"/>
      <c r="W63" s="195">
        <f t="shared" si="75"/>
        <v>0</v>
      </c>
      <c r="X63" s="146"/>
      <c r="Y63" s="146"/>
      <c r="Z63" s="146"/>
      <c r="AA63" s="258"/>
      <c r="AB63" s="250">
        <f t="shared" si="76"/>
        <v>0</v>
      </c>
      <c r="AC63" s="146"/>
      <c r="AD63" s="146"/>
      <c r="AE63" s="146"/>
      <c r="AF63" s="146"/>
      <c r="AG63" s="195">
        <f t="shared" si="77"/>
        <v>0</v>
      </c>
      <c r="AH63" s="146"/>
      <c r="AI63" s="146"/>
      <c r="AJ63" s="146"/>
      <c r="AK63" s="258"/>
      <c r="AL63" s="250">
        <f t="shared" si="78"/>
        <v>0</v>
      </c>
      <c r="AM63" s="146"/>
      <c r="AN63" s="146"/>
      <c r="AO63" s="146"/>
      <c r="AP63" s="146"/>
      <c r="AQ63" s="195">
        <f t="shared" si="79"/>
        <v>0</v>
      </c>
      <c r="AR63" s="146"/>
      <c r="AS63" s="146"/>
      <c r="AT63" s="146"/>
      <c r="AU63" s="258"/>
      <c r="AV63" s="250">
        <f t="shared" si="80"/>
        <v>0</v>
      </c>
      <c r="AW63" s="146"/>
      <c r="AX63" s="146"/>
      <c r="AY63" s="146"/>
      <c r="AZ63" s="146"/>
      <c r="BA63" s="195">
        <f t="shared" si="81"/>
        <v>0</v>
      </c>
      <c r="BB63" s="146"/>
      <c r="BC63" s="146"/>
      <c r="BD63" s="146"/>
      <c r="BE63" s="258"/>
      <c r="BF63" s="246">
        <f t="shared" si="82"/>
        <v>0</v>
      </c>
      <c r="BG63" s="195">
        <f t="shared" si="83"/>
        <v>0</v>
      </c>
    </row>
    <row r="64" spans="1:59" ht="33" customHeight="1">
      <c r="A64" s="145" t="s">
        <v>215</v>
      </c>
      <c r="B64" s="149" t="s">
        <v>441</v>
      </c>
      <c r="C64" s="195">
        <f t="shared" si="70"/>
        <v>0</v>
      </c>
      <c r="D64" s="195">
        <f t="shared" si="71"/>
        <v>0</v>
      </c>
      <c r="E64" s="146"/>
      <c r="F64" s="146"/>
      <c r="G64" s="239"/>
      <c r="H64" s="250">
        <f t="shared" si="72"/>
        <v>0</v>
      </c>
      <c r="I64" s="146"/>
      <c r="J64" s="146"/>
      <c r="K64" s="146"/>
      <c r="L64" s="146"/>
      <c r="M64" s="195">
        <f t="shared" si="73"/>
        <v>0</v>
      </c>
      <c r="N64" s="146"/>
      <c r="O64" s="146"/>
      <c r="P64" s="146"/>
      <c r="Q64" s="252"/>
      <c r="R64" s="250">
        <f t="shared" si="74"/>
        <v>0</v>
      </c>
      <c r="S64" s="146"/>
      <c r="T64" s="146"/>
      <c r="U64" s="146"/>
      <c r="V64" s="146"/>
      <c r="W64" s="195">
        <f t="shared" si="75"/>
        <v>0</v>
      </c>
      <c r="X64" s="146"/>
      <c r="Y64" s="146"/>
      <c r="Z64" s="146"/>
      <c r="AA64" s="258"/>
      <c r="AB64" s="250">
        <f t="shared" si="76"/>
        <v>0</v>
      </c>
      <c r="AC64" s="146"/>
      <c r="AD64" s="146"/>
      <c r="AE64" s="146"/>
      <c r="AF64" s="146"/>
      <c r="AG64" s="195">
        <f t="shared" si="77"/>
        <v>0</v>
      </c>
      <c r="AH64" s="146"/>
      <c r="AI64" s="146"/>
      <c r="AJ64" s="146"/>
      <c r="AK64" s="258"/>
      <c r="AL64" s="250">
        <f t="shared" si="78"/>
        <v>0</v>
      </c>
      <c r="AM64" s="146"/>
      <c r="AN64" s="146"/>
      <c r="AO64" s="146"/>
      <c r="AP64" s="146"/>
      <c r="AQ64" s="195">
        <f t="shared" si="79"/>
        <v>0</v>
      </c>
      <c r="AR64" s="146"/>
      <c r="AS64" s="146"/>
      <c r="AT64" s="146"/>
      <c r="AU64" s="258"/>
      <c r="AV64" s="250">
        <f t="shared" si="80"/>
        <v>0</v>
      </c>
      <c r="AW64" s="146"/>
      <c r="AX64" s="146"/>
      <c r="AY64" s="146"/>
      <c r="AZ64" s="146"/>
      <c r="BA64" s="195">
        <f t="shared" si="81"/>
        <v>0</v>
      </c>
      <c r="BB64" s="146"/>
      <c r="BC64" s="146"/>
      <c r="BD64" s="146"/>
      <c r="BE64" s="258"/>
      <c r="BF64" s="246">
        <f t="shared" si="82"/>
        <v>0</v>
      </c>
      <c r="BG64" s="195">
        <f t="shared" si="83"/>
        <v>0</v>
      </c>
    </row>
    <row r="65" spans="1:58">
      <c r="A65" s="63"/>
      <c r="B65" s="64"/>
      <c r="C65" s="64"/>
      <c r="D65" s="64"/>
      <c r="E65" s="64"/>
      <c r="F65" s="64"/>
      <c r="G65" s="64"/>
      <c r="H65" s="64"/>
      <c r="I65" s="64"/>
      <c r="J65" s="64"/>
      <c r="K65" s="64"/>
      <c r="L65" s="64"/>
      <c r="M65" s="64"/>
      <c r="N65" s="64"/>
      <c r="O65" s="64"/>
      <c r="P65" s="64"/>
      <c r="Q65" s="64"/>
      <c r="R65" s="63"/>
      <c r="S65" s="63"/>
      <c r="T65" s="63"/>
      <c r="U65" s="63"/>
      <c r="V65" s="63"/>
      <c r="W65" s="54"/>
      <c r="X65" s="54"/>
      <c r="Y65" s="54"/>
      <c r="Z65" s="54"/>
      <c r="AA65" s="54"/>
      <c r="AB65" s="63"/>
      <c r="AC65" s="63"/>
      <c r="AD65" s="63"/>
      <c r="AE65" s="63"/>
      <c r="AF65" s="63"/>
      <c r="AG65" s="54"/>
      <c r="AH65" s="54"/>
      <c r="AI65" s="54"/>
      <c r="AJ65" s="54"/>
      <c r="AK65" s="54"/>
      <c r="AL65" s="63"/>
      <c r="AM65" s="63"/>
      <c r="AN65" s="63"/>
      <c r="AO65" s="63"/>
      <c r="AP65" s="63"/>
      <c r="AQ65" s="54"/>
      <c r="AR65" s="54"/>
      <c r="AS65" s="54"/>
      <c r="AT65" s="54"/>
      <c r="AU65" s="54"/>
      <c r="AV65" s="63"/>
      <c r="AW65" s="63"/>
      <c r="AX65" s="63"/>
      <c r="AY65" s="63"/>
      <c r="AZ65" s="63"/>
      <c r="BA65" s="54"/>
      <c r="BB65" s="54"/>
      <c r="BC65" s="54"/>
      <c r="BD65" s="54"/>
      <c r="BE65" s="54"/>
      <c r="BF65" s="54"/>
    </row>
    <row r="66" spans="1:58" ht="54" customHeight="1">
      <c r="A66" s="54"/>
      <c r="B66" s="525"/>
      <c r="C66" s="525"/>
      <c r="D66" s="525"/>
      <c r="E66" s="525"/>
      <c r="F66" s="525"/>
      <c r="G66" s="525"/>
      <c r="H66" s="525"/>
      <c r="I66" s="525"/>
      <c r="J66" s="172"/>
      <c r="K66" s="172"/>
      <c r="L66" s="172"/>
      <c r="M66" s="58"/>
      <c r="N66" s="172"/>
      <c r="O66" s="172"/>
      <c r="P66" s="172"/>
      <c r="Q66" s="58"/>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row>
    <row r="67" spans="1:58">
      <c r="A67" s="54"/>
      <c r="B67" s="54"/>
      <c r="C67" s="54"/>
      <c r="D67" s="54"/>
      <c r="E67" s="54"/>
      <c r="F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row>
    <row r="68" spans="1:58" ht="50.25" customHeight="1">
      <c r="A68" s="54"/>
      <c r="B68" s="526"/>
      <c r="C68" s="526"/>
      <c r="D68" s="526"/>
      <c r="E68" s="526"/>
      <c r="F68" s="526"/>
      <c r="G68" s="526"/>
      <c r="H68" s="526"/>
      <c r="I68" s="526"/>
      <c r="J68" s="173"/>
      <c r="K68" s="173"/>
      <c r="L68" s="173"/>
      <c r="M68" s="59"/>
      <c r="N68" s="173"/>
      <c r="O68" s="173"/>
      <c r="P68" s="173"/>
      <c r="Q68" s="59"/>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row>
    <row r="69" spans="1:58">
      <c r="A69" s="54"/>
      <c r="B69" s="54"/>
      <c r="C69" s="54"/>
      <c r="D69" s="54"/>
      <c r="E69" s="54"/>
      <c r="F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row>
    <row r="70" spans="1:58" ht="36.75" customHeight="1">
      <c r="A70" s="54"/>
      <c r="B70" s="525"/>
      <c r="C70" s="525"/>
      <c r="D70" s="525"/>
      <c r="E70" s="525"/>
      <c r="F70" s="525"/>
      <c r="G70" s="525"/>
      <c r="H70" s="525"/>
      <c r="I70" s="525"/>
      <c r="J70" s="172"/>
      <c r="K70" s="172"/>
      <c r="L70" s="172"/>
      <c r="M70" s="58"/>
      <c r="N70" s="172"/>
      <c r="O70" s="172"/>
      <c r="P70" s="172"/>
      <c r="Q70" s="58"/>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row>
    <row r="71" spans="1:58">
      <c r="A71" s="54"/>
      <c r="B71" s="61"/>
      <c r="C71" s="61"/>
      <c r="D71" s="61"/>
      <c r="E71" s="61"/>
      <c r="F71" s="61"/>
      <c r="R71" s="54"/>
      <c r="S71" s="54"/>
      <c r="T71" s="54"/>
      <c r="U71" s="54"/>
      <c r="V71" s="54"/>
      <c r="W71" s="60"/>
      <c r="X71" s="60"/>
      <c r="Y71" s="60"/>
      <c r="Z71" s="60"/>
      <c r="AA71" s="54"/>
      <c r="AB71" s="54"/>
      <c r="AC71" s="54"/>
      <c r="AD71" s="54"/>
      <c r="AE71" s="54"/>
      <c r="AF71" s="54"/>
      <c r="AG71" s="60"/>
      <c r="AH71" s="60"/>
      <c r="AI71" s="60"/>
      <c r="AJ71" s="60"/>
      <c r="AK71" s="54"/>
      <c r="AL71" s="54"/>
      <c r="AM71" s="54"/>
      <c r="AN71" s="54"/>
      <c r="AO71" s="54"/>
      <c r="AP71" s="54"/>
      <c r="AQ71" s="60"/>
      <c r="AR71" s="60"/>
      <c r="AS71" s="60"/>
      <c r="AT71" s="60"/>
      <c r="AU71" s="54"/>
      <c r="AV71" s="54"/>
      <c r="AW71" s="54"/>
      <c r="AX71" s="54"/>
      <c r="AY71" s="54"/>
      <c r="AZ71" s="54"/>
      <c r="BA71" s="60"/>
      <c r="BB71" s="60"/>
      <c r="BC71" s="60"/>
      <c r="BD71" s="60"/>
      <c r="BE71" s="54"/>
      <c r="BF71" s="54"/>
    </row>
    <row r="72" spans="1:58" ht="51" customHeight="1">
      <c r="A72" s="54"/>
      <c r="B72" s="525"/>
      <c r="C72" s="525"/>
      <c r="D72" s="525"/>
      <c r="E72" s="525"/>
      <c r="F72" s="525"/>
      <c r="G72" s="525"/>
      <c r="H72" s="525"/>
      <c r="I72" s="525"/>
      <c r="J72" s="172"/>
      <c r="K72" s="172"/>
      <c r="L72" s="172"/>
      <c r="M72" s="58"/>
      <c r="N72" s="172"/>
      <c r="O72" s="172"/>
      <c r="P72" s="172"/>
      <c r="Q72" s="58"/>
      <c r="R72" s="54"/>
      <c r="S72" s="54"/>
      <c r="T72" s="54"/>
      <c r="U72" s="54"/>
      <c r="V72" s="54"/>
      <c r="W72" s="60"/>
      <c r="X72" s="60"/>
      <c r="Y72" s="60"/>
      <c r="Z72" s="60"/>
      <c r="AA72" s="54"/>
      <c r="AB72" s="54"/>
      <c r="AC72" s="54"/>
      <c r="AD72" s="54"/>
      <c r="AE72" s="54"/>
      <c r="AF72" s="54"/>
      <c r="AG72" s="60"/>
      <c r="AH72" s="60"/>
      <c r="AI72" s="60"/>
      <c r="AJ72" s="60"/>
      <c r="AK72" s="54"/>
      <c r="AL72" s="54"/>
      <c r="AM72" s="54"/>
      <c r="AN72" s="54"/>
      <c r="AO72" s="54"/>
      <c r="AP72" s="54"/>
      <c r="AQ72" s="60"/>
      <c r="AR72" s="60"/>
      <c r="AS72" s="60"/>
      <c r="AT72" s="60"/>
      <c r="AU72" s="54"/>
      <c r="AV72" s="54"/>
      <c r="AW72" s="54"/>
      <c r="AX72" s="54"/>
      <c r="AY72" s="54"/>
      <c r="AZ72" s="54"/>
      <c r="BA72" s="60"/>
      <c r="BB72" s="60"/>
      <c r="BC72" s="60"/>
      <c r="BD72" s="60"/>
      <c r="BE72" s="54"/>
      <c r="BF72" s="54"/>
    </row>
    <row r="73" spans="1:58" ht="32.25" customHeight="1">
      <c r="A73" s="54"/>
      <c r="B73" s="526"/>
      <c r="C73" s="526"/>
      <c r="D73" s="526"/>
      <c r="E73" s="526"/>
      <c r="F73" s="526"/>
      <c r="G73" s="526"/>
      <c r="H73" s="526"/>
      <c r="I73" s="526"/>
      <c r="J73" s="173"/>
      <c r="K73" s="173"/>
      <c r="L73" s="173"/>
      <c r="M73" s="59"/>
      <c r="N73" s="173"/>
      <c r="O73" s="173"/>
      <c r="P73" s="173"/>
      <c r="Q73" s="59"/>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row>
    <row r="74" spans="1:58" ht="51.75" customHeight="1">
      <c r="A74" s="54"/>
      <c r="B74" s="525"/>
      <c r="C74" s="525"/>
      <c r="D74" s="525"/>
      <c r="E74" s="525"/>
      <c r="F74" s="525"/>
      <c r="G74" s="525"/>
      <c r="H74" s="525"/>
      <c r="I74" s="525"/>
      <c r="J74" s="172"/>
      <c r="K74" s="172"/>
      <c r="L74" s="172"/>
      <c r="M74" s="58"/>
      <c r="N74" s="172"/>
      <c r="O74" s="172"/>
      <c r="P74" s="172"/>
      <c r="Q74" s="58"/>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row>
    <row r="75" spans="1:58" ht="21.75" customHeight="1">
      <c r="A75" s="54"/>
      <c r="B75" s="527"/>
      <c r="C75" s="527"/>
      <c r="D75" s="527"/>
      <c r="E75" s="527"/>
      <c r="F75" s="527"/>
      <c r="G75" s="527"/>
      <c r="H75" s="527"/>
      <c r="I75" s="527"/>
      <c r="J75" s="170"/>
      <c r="K75" s="170"/>
      <c r="L75" s="170"/>
      <c r="M75" s="57"/>
      <c r="N75" s="170"/>
      <c r="O75" s="170"/>
      <c r="P75" s="170"/>
      <c r="Q75" s="57"/>
      <c r="R75" s="56"/>
      <c r="S75" s="56"/>
      <c r="T75" s="56"/>
      <c r="U75" s="56"/>
      <c r="V75" s="56"/>
      <c r="W75" s="54"/>
      <c r="X75" s="54"/>
      <c r="Y75" s="54"/>
      <c r="Z75" s="54"/>
      <c r="AA75" s="54"/>
      <c r="AB75" s="56"/>
      <c r="AC75" s="56"/>
      <c r="AD75" s="56"/>
      <c r="AE75" s="56"/>
      <c r="AF75" s="56"/>
      <c r="AG75" s="54"/>
      <c r="AH75" s="54"/>
      <c r="AI75" s="54"/>
      <c r="AJ75" s="54"/>
      <c r="AK75" s="54"/>
      <c r="AL75" s="56"/>
      <c r="AM75" s="56"/>
      <c r="AN75" s="56"/>
      <c r="AO75" s="56"/>
      <c r="AP75" s="56"/>
      <c r="AQ75" s="54"/>
      <c r="AR75" s="54"/>
      <c r="AS75" s="54"/>
      <c r="AT75" s="54"/>
      <c r="AU75" s="54"/>
      <c r="AV75" s="56"/>
      <c r="AW75" s="56"/>
      <c r="AX75" s="56"/>
      <c r="AY75" s="56"/>
      <c r="AZ75" s="56"/>
      <c r="BA75" s="54"/>
      <c r="BB75" s="54"/>
      <c r="BC75" s="54"/>
      <c r="BD75" s="54"/>
      <c r="BE75" s="54"/>
      <c r="BF75" s="54"/>
    </row>
    <row r="76" spans="1:58" ht="23.25" customHeight="1">
      <c r="A76" s="54"/>
      <c r="B76" s="56"/>
      <c r="C76" s="56"/>
      <c r="D76" s="56"/>
      <c r="E76" s="56"/>
      <c r="F76" s="56"/>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row>
    <row r="77" spans="1:58" ht="18.75" customHeight="1">
      <c r="A77" s="54"/>
      <c r="B77" s="524"/>
      <c r="C77" s="524"/>
      <c r="D77" s="524"/>
      <c r="E77" s="524"/>
      <c r="F77" s="524"/>
      <c r="G77" s="524"/>
      <c r="H77" s="524"/>
      <c r="I77" s="524"/>
      <c r="J77" s="171"/>
      <c r="K77" s="171"/>
      <c r="L77" s="171"/>
      <c r="M77" s="55"/>
      <c r="N77" s="171"/>
      <c r="O77" s="171"/>
      <c r="P77" s="171"/>
      <c r="Q77" s="55"/>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row>
    <row r="78" spans="1:58">
      <c r="A78" s="54"/>
      <c r="B78" s="54"/>
      <c r="C78" s="54"/>
      <c r="D78" s="54"/>
      <c r="E78" s="54"/>
      <c r="F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row>
    <row r="79" spans="1:58">
      <c r="A79" s="54"/>
      <c r="B79" s="54"/>
      <c r="C79" s="54"/>
      <c r="D79" s="54"/>
      <c r="E79" s="54"/>
      <c r="F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row>
    <row r="80" spans="1:58">
      <c r="G80" s="53"/>
      <c r="H80" s="53"/>
      <c r="I80" s="53"/>
      <c r="J80" s="53"/>
      <c r="K80" s="53"/>
      <c r="L80" s="53"/>
      <c r="M80" s="53"/>
      <c r="N80" s="53"/>
      <c r="O80" s="53"/>
      <c r="P80" s="53"/>
      <c r="Q80" s="53"/>
    </row>
    <row r="81" spans="7:17">
      <c r="G81" s="53"/>
      <c r="H81" s="53"/>
      <c r="I81" s="53"/>
      <c r="J81" s="53"/>
      <c r="K81" s="53"/>
      <c r="L81" s="53"/>
      <c r="M81" s="53"/>
      <c r="N81" s="53"/>
      <c r="O81" s="53"/>
      <c r="P81" s="53"/>
      <c r="Q81" s="53"/>
    </row>
    <row r="82" spans="7:17">
      <c r="G82" s="53"/>
      <c r="H82" s="53"/>
      <c r="I82" s="53"/>
      <c r="J82" s="53"/>
      <c r="K82" s="53"/>
      <c r="L82" s="53"/>
      <c r="M82" s="53"/>
      <c r="N82" s="53"/>
      <c r="O82" s="53"/>
      <c r="P82" s="53"/>
      <c r="Q82" s="53"/>
    </row>
    <row r="83" spans="7:17">
      <c r="G83" s="53"/>
      <c r="H83" s="53"/>
      <c r="I83" s="53"/>
      <c r="J83" s="53"/>
      <c r="K83" s="53"/>
      <c r="L83" s="53"/>
      <c r="M83" s="53"/>
      <c r="N83" s="53"/>
      <c r="O83" s="53"/>
      <c r="P83" s="53"/>
      <c r="Q83" s="53"/>
    </row>
    <row r="84" spans="7:17">
      <c r="G84" s="53"/>
      <c r="H84" s="53"/>
      <c r="I84" s="53"/>
      <c r="J84" s="53"/>
      <c r="K84" s="53"/>
      <c r="L84" s="53"/>
      <c r="M84" s="53"/>
      <c r="N84" s="53"/>
      <c r="O84" s="53"/>
      <c r="P84" s="53"/>
      <c r="Q84" s="53"/>
    </row>
    <row r="85" spans="7:17">
      <c r="G85" s="53"/>
      <c r="H85" s="53"/>
      <c r="I85" s="53"/>
      <c r="J85" s="53"/>
      <c r="K85" s="53"/>
      <c r="L85" s="53"/>
      <c r="M85" s="53"/>
      <c r="N85" s="53"/>
      <c r="O85" s="53"/>
      <c r="P85" s="53"/>
      <c r="Q85" s="53"/>
    </row>
    <row r="86" spans="7:17">
      <c r="G86" s="53"/>
      <c r="H86" s="53"/>
      <c r="I86" s="53"/>
      <c r="J86" s="53"/>
      <c r="K86" s="53"/>
      <c r="L86" s="53"/>
      <c r="M86" s="53"/>
      <c r="N86" s="53"/>
      <c r="O86" s="53"/>
      <c r="P86" s="53"/>
      <c r="Q86" s="53"/>
    </row>
    <row r="87" spans="7:17">
      <c r="G87" s="53"/>
      <c r="H87" s="53"/>
      <c r="I87" s="53"/>
      <c r="J87" s="53"/>
      <c r="K87" s="53"/>
      <c r="L87" s="53"/>
      <c r="M87" s="53"/>
      <c r="N87" s="53"/>
      <c r="O87" s="53"/>
      <c r="P87" s="53"/>
      <c r="Q87" s="53"/>
    </row>
    <row r="88" spans="7:17">
      <c r="G88" s="53"/>
      <c r="H88" s="53"/>
      <c r="I88" s="53"/>
      <c r="J88" s="53"/>
      <c r="K88" s="53"/>
      <c r="L88" s="53"/>
      <c r="M88" s="53"/>
      <c r="N88" s="53"/>
      <c r="O88" s="53"/>
      <c r="P88" s="53"/>
      <c r="Q88" s="53"/>
    </row>
    <row r="89" spans="7:17">
      <c r="G89" s="53"/>
      <c r="H89" s="53"/>
      <c r="I89" s="53"/>
      <c r="J89" s="53"/>
      <c r="K89" s="53"/>
      <c r="L89" s="53"/>
      <c r="M89" s="53"/>
      <c r="N89" s="53"/>
      <c r="O89" s="53"/>
      <c r="P89" s="53"/>
      <c r="Q89" s="53"/>
    </row>
    <row r="90" spans="7:17">
      <c r="G90" s="53"/>
      <c r="H90" s="53"/>
      <c r="I90" s="53"/>
      <c r="J90" s="53"/>
      <c r="K90" s="53"/>
      <c r="L90" s="53"/>
      <c r="M90" s="53"/>
      <c r="N90" s="53"/>
      <c r="O90" s="53"/>
      <c r="P90" s="53"/>
      <c r="Q90" s="53"/>
    </row>
    <row r="91" spans="7:17">
      <c r="G91" s="53"/>
      <c r="H91" s="53"/>
      <c r="I91" s="53"/>
      <c r="J91" s="53"/>
      <c r="K91" s="53"/>
      <c r="L91" s="53"/>
      <c r="M91" s="53"/>
      <c r="N91" s="53"/>
      <c r="O91" s="53"/>
      <c r="P91" s="53"/>
      <c r="Q91" s="53"/>
    </row>
    <row r="92" spans="7:17">
      <c r="G92" s="53"/>
      <c r="H92" s="53"/>
      <c r="I92" s="53"/>
      <c r="J92" s="53"/>
      <c r="K92" s="53"/>
      <c r="L92" s="53"/>
      <c r="M92" s="53"/>
      <c r="N92" s="53"/>
      <c r="O92" s="53"/>
      <c r="P92" s="53"/>
      <c r="Q92" s="53"/>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Y30" sqref="Y30"/>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49" t="str">
        <f>'1. паспорт местоположение'!A5:C5</f>
        <v>Год раскрытия информации: 2020 год</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row>
    <row r="6" spans="1:48" ht="18.75">
      <c r="AV6" s="14"/>
    </row>
    <row r="7" spans="1:48" ht="18.75">
      <c r="A7" s="453" t="s">
        <v>8</v>
      </c>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row>
    <row r="8" spans="1:48" ht="18.75">
      <c r="A8" s="453"/>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3"/>
      <c r="AO8" s="453"/>
      <c r="AP8" s="453"/>
      <c r="AQ8" s="453"/>
      <c r="AR8" s="453"/>
      <c r="AS8" s="453"/>
      <c r="AT8" s="453"/>
      <c r="AU8" s="453"/>
      <c r="AV8" s="453"/>
    </row>
    <row r="9" spans="1:48" ht="18.75">
      <c r="A9" s="452" t="str">
        <f>'1. паспорт местоположение'!A9:C9</f>
        <v>АО "Крымэнерго"</v>
      </c>
      <c r="B9" s="452"/>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row>
    <row r="10" spans="1:48" ht="15.75">
      <c r="A10" s="450" t="s">
        <v>7</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row>
    <row r="11" spans="1:48" ht="18.75">
      <c r="A11" s="453"/>
      <c r="B11" s="453"/>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453"/>
      <c r="AS11" s="453"/>
      <c r="AT11" s="453"/>
      <c r="AU11" s="453"/>
      <c r="AV11" s="453"/>
    </row>
    <row r="12" spans="1:48" ht="18.75">
      <c r="A12" s="452" t="str">
        <f>'1. паспорт местоположение'!A12:C12</f>
        <v>K_1101004</v>
      </c>
      <c r="B12" s="452"/>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row>
    <row r="13" spans="1:48" ht="15.75">
      <c r="A13" s="450" t="s">
        <v>6</v>
      </c>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row>
    <row r="14" spans="1:48" ht="18.75">
      <c r="A14" s="457"/>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row>
    <row r="15" spans="1:48" ht="18.75">
      <c r="A15" s="452" t="str">
        <f>'1. паспорт местоположение'!A15:C15</f>
        <v>Реконструкция ПС 110 кВ "Артек" с заменой силовых трансформаторов  и расширением РУ 10 кВ  на 4 линейных ячеек.</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row>
    <row r="16" spans="1:48" ht="15.75">
      <c r="A16" s="450" t="s">
        <v>5</v>
      </c>
      <c r="B16" s="450"/>
      <c r="C16" s="450"/>
      <c r="D16" s="450"/>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row>
    <row r="17" spans="1:48">
      <c r="A17" s="488"/>
      <c r="B17" s="488"/>
      <c r="C17" s="488"/>
      <c r="D17" s="488"/>
      <c r="E17" s="488"/>
      <c r="F17" s="488"/>
      <c r="G17" s="488"/>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8"/>
      <c r="AN17" s="488"/>
      <c r="AO17" s="488"/>
      <c r="AP17" s="488"/>
      <c r="AQ17" s="488"/>
      <c r="AR17" s="488"/>
      <c r="AS17" s="488"/>
      <c r="AT17" s="488"/>
      <c r="AU17" s="488"/>
      <c r="AV17" s="488"/>
    </row>
    <row r="18" spans="1:48" ht="14.25" customHeight="1">
      <c r="A18" s="488"/>
      <c r="B18" s="488"/>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8"/>
      <c r="AK18" s="488"/>
      <c r="AL18" s="488"/>
      <c r="AM18" s="488"/>
      <c r="AN18" s="488"/>
      <c r="AO18" s="488"/>
      <c r="AP18" s="488"/>
      <c r="AQ18" s="488"/>
      <c r="AR18" s="488"/>
      <c r="AS18" s="488"/>
      <c r="AT18" s="488"/>
      <c r="AU18" s="488"/>
      <c r="AV18" s="488"/>
    </row>
    <row r="19" spans="1:48">
      <c r="A19" s="488"/>
      <c r="B19" s="488"/>
      <c r="C19" s="488"/>
      <c r="D19" s="488"/>
      <c r="E19" s="488"/>
      <c r="F19" s="488"/>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c r="AG19" s="488"/>
      <c r="AH19" s="488"/>
      <c r="AI19" s="488"/>
      <c r="AJ19" s="488"/>
      <c r="AK19" s="488"/>
      <c r="AL19" s="488"/>
      <c r="AM19" s="488"/>
      <c r="AN19" s="488"/>
      <c r="AO19" s="488"/>
      <c r="AP19" s="488"/>
      <c r="AQ19" s="488"/>
      <c r="AR19" s="488"/>
      <c r="AS19" s="488"/>
      <c r="AT19" s="488"/>
      <c r="AU19" s="488"/>
      <c r="AV19" s="488"/>
    </row>
    <row r="20" spans="1:48" s="20" customFormat="1">
      <c r="A20" s="494"/>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row>
    <row r="21" spans="1:48" s="20" customFormat="1">
      <c r="A21" s="547" t="s">
        <v>410</v>
      </c>
      <c r="B21" s="547"/>
      <c r="C21" s="547"/>
      <c r="D21" s="547"/>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row>
    <row r="22" spans="1:48" s="20" customFormat="1" ht="58.5" customHeight="1">
      <c r="A22" s="540" t="s">
        <v>51</v>
      </c>
      <c r="B22" s="549" t="s">
        <v>23</v>
      </c>
      <c r="C22" s="540" t="s">
        <v>50</v>
      </c>
      <c r="D22" s="540" t="s">
        <v>49</v>
      </c>
      <c r="E22" s="552" t="s">
        <v>421</v>
      </c>
      <c r="F22" s="553"/>
      <c r="G22" s="553"/>
      <c r="H22" s="553"/>
      <c r="I22" s="553"/>
      <c r="J22" s="553"/>
      <c r="K22" s="553"/>
      <c r="L22" s="554"/>
      <c r="M22" s="540" t="s">
        <v>48</v>
      </c>
      <c r="N22" s="540" t="s">
        <v>47</v>
      </c>
      <c r="O22" s="540" t="s">
        <v>46</v>
      </c>
      <c r="P22" s="535" t="s">
        <v>223</v>
      </c>
      <c r="Q22" s="535" t="s">
        <v>45</v>
      </c>
      <c r="R22" s="535" t="s">
        <v>44</v>
      </c>
      <c r="S22" s="535" t="s">
        <v>43</v>
      </c>
      <c r="T22" s="535"/>
      <c r="U22" s="555" t="s">
        <v>42</v>
      </c>
      <c r="V22" s="555" t="s">
        <v>41</v>
      </c>
      <c r="W22" s="535" t="s">
        <v>40</v>
      </c>
      <c r="X22" s="535" t="s">
        <v>39</v>
      </c>
      <c r="Y22" s="535" t="s">
        <v>38</v>
      </c>
      <c r="Z22" s="542" t="s">
        <v>37</v>
      </c>
      <c r="AA22" s="535" t="s">
        <v>36</v>
      </c>
      <c r="AB22" s="535" t="s">
        <v>35</v>
      </c>
      <c r="AC22" s="535" t="s">
        <v>34</v>
      </c>
      <c r="AD22" s="535" t="s">
        <v>33</v>
      </c>
      <c r="AE22" s="535" t="s">
        <v>32</v>
      </c>
      <c r="AF22" s="535" t="s">
        <v>31</v>
      </c>
      <c r="AG22" s="535"/>
      <c r="AH22" s="535"/>
      <c r="AI22" s="535"/>
      <c r="AJ22" s="535"/>
      <c r="AK22" s="535"/>
      <c r="AL22" s="535" t="s">
        <v>30</v>
      </c>
      <c r="AM22" s="535"/>
      <c r="AN22" s="535"/>
      <c r="AO22" s="535"/>
      <c r="AP22" s="535" t="s">
        <v>29</v>
      </c>
      <c r="AQ22" s="535"/>
      <c r="AR22" s="535" t="s">
        <v>28</v>
      </c>
      <c r="AS22" s="535" t="s">
        <v>27</v>
      </c>
      <c r="AT22" s="535" t="s">
        <v>26</v>
      </c>
      <c r="AU22" s="535" t="s">
        <v>25</v>
      </c>
      <c r="AV22" s="535" t="s">
        <v>24</v>
      </c>
    </row>
    <row r="23" spans="1:48" s="20" customFormat="1" ht="64.5" customHeight="1">
      <c r="A23" s="548"/>
      <c r="B23" s="550"/>
      <c r="C23" s="548"/>
      <c r="D23" s="548"/>
      <c r="E23" s="543" t="s">
        <v>22</v>
      </c>
      <c r="F23" s="536" t="s">
        <v>116</v>
      </c>
      <c r="G23" s="536" t="s">
        <v>115</v>
      </c>
      <c r="H23" s="536" t="s">
        <v>114</v>
      </c>
      <c r="I23" s="538" t="s">
        <v>336</v>
      </c>
      <c r="J23" s="538" t="s">
        <v>337</v>
      </c>
      <c r="K23" s="538" t="s">
        <v>338</v>
      </c>
      <c r="L23" s="536" t="s">
        <v>76</v>
      </c>
      <c r="M23" s="548"/>
      <c r="N23" s="548"/>
      <c r="O23" s="548"/>
      <c r="P23" s="535"/>
      <c r="Q23" s="535"/>
      <c r="R23" s="535"/>
      <c r="S23" s="545" t="s">
        <v>3</v>
      </c>
      <c r="T23" s="545" t="s">
        <v>10</v>
      </c>
      <c r="U23" s="555"/>
      <c r="V23" s="555"/>
      <c r="W23" s="535"/>
      <c r="X23" s="535"/>
      <c r="Y23" s="535"/>
      <c r="Z23" s="535"/>
      <c r="AA23" s="535"/>
      <c r="AB23" s="535"/>
      <c r="AC23" s="535"/>
      <c r="AD23" s="535"/>
      <c r="AE23" s="535"/>
      <c r="AF23" s="535" t="s">
        <v>21</v>
      </c>
      <c r="AG23" s="535"/>
      <c r="AH23" s="535" t="s">
        <v>20</v>
      </c>
      <c r="AI23" s="535"/>
      <c r="AJ23" s="540" t="s">
        <v>19</v>
      </c>
      <c r="AK23" s="540" t="s">
        <v>18</v>
      </c>
      <c r="AL23" s="540" t="s">
        <v>17</v>
      </c>
      <c r="AM23" s="540" t="s">
        <v>16</v>
      </c>
      <c r="AN23" s="540" t="s">
        <v>15</v>
      </c>
      <c r="AO23" s="540" t="s">
        <v>14</v>
      </c>
      <c r="AP23" s="540" t="s">
        <v>13</v>
      </c>
      <c r="AQ23" s="556" t="s">
        <v>10</v>
      </c>
      <c r="AR23" s="535"/>
      <c r="AS23" s="535"/>
      <c r="AT23" s="535"/>
      <c r="AU23" s="535"/>
      <c r="AV23" s="535"/>
    </row>
    <row r="24" spans="1:48" s="20" customFormat="1" ht="96.75" customHeight="1">
      <c r="A24" s="541"/>
      <c r="B24" s="551"/>
      <c r="C24" s="541"/>
      <c r="D24" s="541"/>
      <c r="E24" s="544"/>
      <c r="F24" s="537"/>
      <c r="G24" s="537"/>
      <c r="H24" s="537"/>
      <c r="I24" s="539"/>
      <c r="J24" s="539"/>
      <c r="K24" s="539"/>
      <c r="L24" s="537"/>
      <c r="M24" s="541"/>
      <c r="N24" s="541"/>
      <c r="O24" s="541"/>
      <c r="P24" s="535"/>
      <c r="Q24" s="535"/>
      <c r="R24" s="535"/>
      <c r="S24" s="546"/>
      <c r="T24" s="546"/>
      <c r="U24" s="555"/>
      <c r="V24" s="555"/>
      <c r="W24" s="535"/>
      <c r="X24" s="535"/>
      <c r="Y24" s="535"/>
      <c r="Z24" s="535"/>
      <c r="AA24" s="535"/>
      <c r="AB24" s="535"/>
      <c r="AC24" s="535"/>
      <c r="AD24" s="535"/>
      <c r="AE24" s="535"/>
      <c r="AF24" s="104" t="s">
        <v>12</v>
      </c>
      <c r="AG24" s="104" t="s">
        <v>11</v>
      </c>
      <c r="AH24" s="105" t="s">
        <v>3</v>
      </c>
      <c r="AI24" s="105" t="s">
        <v>10</v>
      </c>
      <c r="AJ24" s="541"/>
      <c r="AK24" s="541"/>
      <c r="AL24" s="541"/>
      <c r="AM24" s="541"/>
      <c r="AN24" s="541"/>
      <c r="AO24" s="541"/>
      <c r="AP24" s="541"/>
      <c r="AQ24" s="557"/>
      <c r="AR24" s="535"/>
      <c r="AS24" s="535"/>
      <c r="AT24" s="535"/>
      <c r="AU24" s="535"/>
      <c r="AV24" s="535"/>
    </row>
    <row r="25" spans="1:48" s="19" customFormat="1" ht="17.25" customHeight="1">
      <c r="A25" s="265">
        <v>1</v>
      </c>
      <c r="B25" s="265">
        <v>2</v>
      </c>
      <c r="C25" s="265">
        <v>4</v>
      </c>
      <c r="D25" s="265">
        <v>5</v>
      </c>
      <c r="E25" s="265">
        <v>6</v>
      </c>
      <c r="F25" s="265">
        <f>E25+1</f>
        <v>7</v>
      </c>
      <c r="G25" s="265">
        <f t="shared" ref="G25:H25" si="0">F25+1</f>
        <v>8</v>
      </c>
      <c r="H25" s="265">
        <f t="shared" si="0"/>
        <v>9</v>
      </c>
      <c r="I25" s="265">
        <f t="shared" ref="I25" si="1">H25+1</f>
        <v>10</v>
      </c>
      <c r="J25" s="265">
        <f t="shared" ref="J25" si="2">I25+1</f>
        <v>11</v>
      </c>
      <c r="K25" s="265">
        <f t="shared" ref="K25" si="3">J25+1</f>
        <v>12</v>
      </c>
      <c r="L25" s="265">
        <f t="shared" ref="L25" si="4">K25+1</f>
        <v>13</v>
      </c>
      <c r="M25" s="265">
        <f t="shared" ref="M25" si="5">L25+1</f>
        <v>14</v>
      </c>
      <c r="N25" s="265">
        <f t="shared" ref="N25" si="6">M25+1</f>
        <v>15</v>
      </c>
      <c r="O25" s="265">
        <f t="shared" ref="O25" si="7">N25+1</f>
        <v>16</v>
      </c>
      <c r="P25" s="265">
        <f t="shared" ref="P25" si="8">O25+1</f>
        <v>17</v>
      </c>
      <c r="Q25" s="265">
        <f t="shared" ref="Q25" si="9">P25+1</f>
        <v>18</v>
      </c>
      <c r="R25" s="265">
        <f t="shared" ref="R25" si="10">Q25+1</f>
        <v>19</v>
      </c>
      <c r="S25" s="265">
        <f t="shared" ref="S25" si="11">R25+1</f>
        <v>20</v>
      </c>
      <c r="T25" s="265">
        <f t="shared" ref="T25" si="12">S25+1</f>
        <v>21</v>
      </c>
      <c r="U25" s="265">
        <f t="shared" ref="U25" si="13">T25+1</f>
        <v>22</v>
      </c>
      <c r="V25" s="265">
        <f t="shared" ref="V25" si="14">U25+1</f>
        <v>23</v>
      </c>
      <c r="W25" s="265">
        <f t="shared" ref="W25" si="15">V25+1</f>
        <v>24</v>
      </c>
      <c r="X25" s="265">
        <f t="shared" ref="X25" si="16">W25+1</f>
        <v>25</v>
      </c>
      <c r="Y25" s="265">
        <f t="shared" ref="Y25" si="17">X25+1</f>
        <v>26</v>
      </c>
      <c r="Z25" s="265">
        <f t="shared" ref="Z25" si="18">Y25+1</f>
        <v>27</v>
      </c>
      <c r="AA25" s="265">
        <f t="shared" ref="AA25" si="19">Z25+1</f>
        <v>28</v>
      </c>
      <c r="AB25" s="265">
        <f t="shared" ref="AB25" si="20">AA25+1</f>
        <v>29</v>
      </c>
      <c r="AC25" s="265">
        <f t="shared" ref="AC25" si="21">AB25+1</f>
        <v>30</v>
      </c>
      <c r="AD25" s="265">
        <f t="shared" ref="AD25" si="22">AC25+1</f>
        <v>31</v>
      </c>
      <c r="AE25" s="265">
        <f t="shared" ref="AE25" si="23">AD25+1</f>
        <v>32</v>
      </c>
      <c r="AF25" s="265">
        <f t="shared" ref="AF25" si="24">AE25+1</f>
        <v>33</v>
      </c>
      <c r="AG25" s="265">
        <f t="shared" ref="AG25" si="25">AF25+1</f>
        <v>34</v>
      </c>
      <c r="AH25" s="265">
        <f t="shared" ref="AH25" si="26">AG25+1</f>
        <v>35</v>
      </c>
      <c r="AI25" s="265">
        <f t="shared" ref="AI25" si="27">AH25+1</f>
        <v>36</v>
      </c>
      <c r="AJ25" s="265">
        <f t="shared" ref="AJ25" si="28">AI25+1</f>
        <v>37</v>
      </c>
      <c r="AK25" s="265">
        <f t="shared" ref="AK25" si="29">AJ25+1</f>
        <v>38</v>
      </c>
      <c r="AL25" s="265">
        <f t="shared" ref="AL25" si="30">AK25+1</f>
        <v>39</v>
      </c>
      <c r="AM25" s="265">
        <f t="shared" ref="AM25" si="31">AL25+1</f>
        <v>40</v>
      </c>
      <c r="AN25" s="265">
        <f t="shared" ref="AN25" si="32">AM25+1</f>
        <v>41</v>
      </c>
      <c r="AO25" s="265">
        <f t="shared" ref="AO25" si="33">AN25+1</f>
        <v>42</v>
      </c>
      <c r="AP25" s="265">
        <f t="shared" ref="AP25" si="34">AO25+1</f>
        <v>43</v>
      </c>
      <c r="AQ25" s="265">
        <f t="shared" ref="AQ25" si="35">AP25+1</f>
        <v>44</v>
      </c>
      <c r="AR25" s="265">
        <f t="shared" ref="AR25" si="36">AQ25+1</f>
        <v>45</v>
      </c>
      <c r="AS25" s="265">
        <f t="shared" ref="AS25" si="37">AR25+1</f>
        <v>46</v>
      </c>
      <c r="AT25" s="265">
        <f t="shared" ref="AT25" si="38">AS25+1</f>
        <v>47</v>
      </c>
      <c r="AU25" s="265">
        <f t="shared" ref="AU25" si="39">AT25+1</f>
        <v>48</v>
      </c>
      <c r="AV25" s="265">
        <f t="shared" ref="AV25" si="40">AU25+1</f>
        <v>49</v>
      </c>
    </row>
    <row r="26" spans="1:48" s="19" customFormat="1" ht="35.25" customHeight="1">
      <c r="A26" s="264" t="s">
        <v>459</v>
      </c>
      <c r="B26" s="264" t="s">
        <v>459</v>
      </c>
      <c r="C26" s="264" t="s">
        <v>459</v>
      </c>
      <c r="D26" s="264" t="s">
        <v>459</v>
      </c>
      <c r="E26" s="264" t="s">
        <v>459</v>
      </c>
      <c r="F26" s="264" t="s">
        <v>459</v>
      </c>
      <c r="G26" s="264" t="s">
        <v>459</v>
      </c>
      <c r="H26" s="264" t="s">
        <v>459</v>
      </c>
      <c r="I26" s="264" t="s">
        <v>459</v>
      </c>
      <c r="J26" s="264" t="s">
        <v>459</v>
      </c>
      <c r="K26" s="264" t="s">
        <v>459</v>
      </c>
      <c r="L26" s="264" t="s">
        <v>459</v>
      </c>
      <c r="M26" s="264" t="s">
        <v>459</v>
      </c>
      <c r="N26" s="264" t="s">
        <v>459</v>
      </c>
      <c r="O26" s="264" t="s">
        <v>459</v>
      </c>
      <c r="P26" s="264" t="s">
        <v>459</v>
      </c>
      <c r="Q26" s="264" t="s">
        <v>459</v>
      </c>
      <c r="R26" s="264" t="s">
        <v>459</v>
      </c>
      <c r="S26" s="264" t="s">
        <v>459</v>
      </c>
      <c r="T26" s="264" t="s">
        <v>459</v>
      </c>
      <c r="U26" s="264" t="s">
        <v>459</v>
      </c>
      <c r="V26" s="264" t="s">
        <v>459</v>
      </c>
      <c r="W26" s="264" t="s">
        <v>459</v>
      </c>
      <c r="X26" s="264" t="s">
        <v>459</v>
      </c>
      <c r="Y26" s="264" t="s">
        <v>459</v>
      </c>
      <c r="Z26" s="264" t="s">
        <v>459</v>
      </c>
      <c r="AA26" s="264" t="s">
        <v>459</v>
      </c>
      <c r="AB26" s="264" t="s">
        <v>459</v>
      </c>
      <c r="AC26" s="264" t="s">
        <v>459</v>
      </c>
      <c r="AD26" s="264" t="s">
        <v>459</v>
      </c>
      <c r="AE26" s="264" t="s">
        <v>459</v>
      </c>
      <c r="AF26" s="264" t="s">
        <v>459</v>
      </c>
      <c r="AG26" s="264" t="s">
        <v>459</v>
      </c>
      <c r="AH26" s="264" t="s">
        <v>459</v>
      </c>
      <c r="AI26" s="264" t="s">
        <v>459</v>
      </c>
      <c r="AJ26" s="264" t="s">
        <v>459</v>
      </c>
      <c r="AK26" s="264" t="s">
        <v>459</v>
      </c>
      <c r="AL26" s="264" t="s">
        <v>459</v>
      </c>
      <c r="AM26" s="264" t="s">
        <v>459</v>
      </c>
      <c r="AN26" s="264" t="s">
        <v>459</v>
      </c>
      <c r="AO26" s="264" t="s">
        <v>459</v>
      </c>
      <c r="AP26" s="264" t="s">
        <v>459</v>
      </c>
      <c r="AQ26" s="264" t="s">
        <v>459</v>
      </c>
      <c r="AR26" s="264" t="s">
        <v>459</v>
      </c>
      <c r="AS26" s="264" t="s">
        <v>459</v>
      </c>
      <c r="AT26" s="264" t="s">
        <v>459</v>
      </c>
      <c r="AU26" s="264" t="s">
        <v>459</v>
      </c>
      <c r="AV26" s="264" t="s">
        <v>459</v>
      </c>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view="pageBreakPreview" topLeftCell="A43" zoomScale="70" zoomScaleNormal="90" zoomScaleSheetLayoutView="70" workbookViewId="0">
      <selection activeCell="B29" sqref="B29"/>
    </sheetView>
  </sheetViews>
  <sheetFormatPr defaultRowHeight="15.75"/>
  <cols>
    <col min="1" max="1" width="85.85546875" style="94" customWidth="1"/>
    <col min="2" max="2" width="66.140625" style="94" customWidth="1"/>
    <col min="3" max="256" width="9.140625" style="95"/>
    <col min="257" max="258" width="66.140625" style="95" customWidth="1"/>
    <col min="259" max="512" width="9.140625" style="95"/>
    <col min="513" max="514" width="66.140625" style="95" customWidth="1"/>
    <col min="515" max="768" width="9.140625" style="95"/>
    <col min="769" max="770" width="66.140625" style="95" customWidth="1"/>
    <col min="771" max="1024" width="9.140625" style="95"/>
    <col min="1025" max="1026" width="66.140625" style="95" customWidth="1"/>
    <col min="1027" max="1280" width="9.140625" style="95"/>
    <col min="1281" max="1282" width="66.140625" style="95" customWidth="1"/>
    <col min="1283" max="1536" width="9.140625" style="95"/>
    <col min="1537" max="1538" width="66.140625" style="95" customWidth="1"/>
    <col min="1539" max="1792" width="9.140625" style="95"/>
    <col min="1793" max="1794" width="66.140625" style="95" customWidth="1"/>
    <col min="1795" max="2048" width="9.140625" style="95"/>
    <col min="2049" max="2050" width="66.140625" style="95" customWidth="1"/>
    <col min="2051" max="2304" width="9.140625" style="95"/>
    <col min="2305" max="2306" width="66.140625" style="95" customWidth="1"/>
    <col min="2307" max="2560" width="9.140625" style="95"/>
    <col min="2561" max="2562" width="66.140625" style="95" customWidth="1"/>
    <col min="2563" max="2816" width="9.140625" style="95"/>
    <col min="2817" max="2818" width="66.140625" style="95" customWidth="1"/>
    <col min="2819" max="3072" width="9.140625" style="95"/>
    <col min="3073" max="3074" width="66.140625" style="95" customWidth="1"/>
    <col min="3075" max="3328" width="9.140625" style="95"/>
    <col min="3329" max="3330" width="66.140625" style="95" customWidth="1"/>
    <col min="3331" max="3584" width="9.140625" style="95"/>
    <col min="3585" max="3586" width="66.140625" style="95" customWidth="1"/>
    <col min="3587" max="3840" width="9.140625" style="95"/>
    <col min="3841" max="3842" width="66.140625" style="95" customWidth="1"/>
    <col min="3843" max="4096" width="9.140625" style="95"/>
    <col min="4097" max="4098" width="66.140625" style="95" customWidth="1"/>
    <col min="4099" max="4352" width="9.140625" style="95"/>
    <col min="4353" max="4354" width="66.140625" style="95" customWidth="1"/>
    <col min="4355" max="4608" width="9.140625" style="95"/>
    <col min="4609" max="4610" width="66.140625" style="95" customWidth="1"/>
    <col min="4611" max="4864" width="9.140625" style="95"/>
    <col min="4865" max="4866" width="66.140625" style="95" customWidth="1"/>
    <col min="4867" max="5120" width="9.140625" style="95"/>
    <col min="5121" max="5122" width="66.140625" style="95" customWidth="1"/>
    <col min="5123" max="5376" width="9.140625" style="95"/>
    <col min="5377" max="5378" width="66.140625" style="95" customWidth="1"/>
    <col min="5379" max="5632" width="9.140625" style="95"/>
    <col min="5633" max="5634" width="66.140625" style="95" customWidth="1"/>
    <col min="5635" max="5888" width="9.140625" style="95"/>
    <col min="5889" max="5890" width="66.140625" style="95" customWidth="1"/>
    <col min="5891" max="6144" width="9.140625" style="95"/>
    <col min="6145" max="6146" width="66.140625" style="95" customWidth="1"/>
    <col min="6147" max="6400" width="9.140625" style="95"/>
    <col min="6401" max="6402" width="66.140625" style="95" customWidth="1"/>
    <col min="6403" max="6656" width="9.140625" style="95"/>
    <col min="6657" max="6658" width="66.140625" style="95" customWidth="1"/>
    <col min="6659" max="6912" width="9.140625" style="95"/>
    <col min="6913" max="6914" width="66.140625" style="95" customWidth="1"/>
    <col min="6915" max="7168" width="9.140625" style="95"/>
    <col min="7169" max="7170" width="66.140625" style="95" customWidth="1"/>
    <col min="7171" max="7424" width="9.140625" style="95"/>
    <col min="7425" max="7426" width="66.140625" style="95" customWidth="1"/>
    <col min="7427" max="7680" width="9.140625" style="95"/>
    <col min="7681" max="7682" width="66.140625" style="95" customWidth="1"/>
    <col min="7683" max="7936" width="9.140625" style="95"/>
    <col min="7937" max="7938" width="66.140625" style="95" customWidth="1"/>
    <col min="7939" max="8192" width="9.140625" style="95"/>
    <col min="8193" max="8194" width="66.140625" style="95" customWidth="1"/>
    <col min="8195" max="8448" width="9.140625" style="95"/>
    <col min="8449" max="8450" width="66.140625" style="95" customWidth="1"/>
    <col min="8451" max="8704" width="9.140625" style="95"/>
    <col min="8705" max="8706" width="66.140625" style="95" customWidth="1"/>
    <col min="8707" max="8960" width="9.140625" style="95"/>
    <col min="8961" max="8962" width="66.140625" style="95" customWidth="1"/>
    <col min="8963" max="9216" width="9.140625" style="95"/>
    <col min="9217" max="9218" width="66.140625" style="95" customWidth="1"/>
    <col min="9219" max="9472" width="9.140625" style="95"/>
    <col min="9473" max="9474" width="66.140625" style="95" customWidth="1"/>
    <col min="9475" max="9728" width="9.140625" style="95"/>
    <col min="9729" max="9730" width="66.140625" style="95" customWidth="1"/>
    <col min="9731" max="9984" width="9.140625" style="95"/>
    <col min="9985" max="9986" width="66.140625" style="95" customWidth="1"/>
    <col min="9987" max="10240" width="9.140625" style="95"/>
    <col min="10241" max="10242" width="66.140625" style="95" customWidth="1"/>
    <col min="10243" max="10496" width="9.140625" style="95"/>
    <col min="10497" max="10498" width="66.140625" style="95" customWidth="1"/>
    <col min="10499" max="10752" width="9.140625" style="95"/>
    <col min="10753" max="10754" width="66.140625" style="95" customWidth="1"/>
    <col min="10755" max="11008" width="9.140625" style="95"/>
    <col min="11009" max="11010" width="66.140625" style="95" customWidth="1"/>
    <col min="11011" max="11264" width="9.140625" style="95"/>
    <col min="11265" max="11266" width="66.140625" style="95" customWidth="1"/>
    <col min="11267" max="11520" width="9.140625" style="95"/>
    <col min="11521" max="11522" width="66.140625" style="95" customWidth="1"/>
    <col min="11523" max="11776" width="9.140625" style="95"/>
    <col min="11777" max="11778" width="66.140625" style="95" customWidth="1"/>
    <col min="11779" max="12032" width="9.140625" style="95"/>
    <col min="12033" max="12034" width="66.140625" style="95" customWidth="1"/>
    <col min="12035" max="12288" width="9.140625" style="95"/>
    <col min="12289" max="12290" width="66.140625" style="95" customWidth="1"/>
    <col min="12291" max="12544" width="9.140625" style="95"/>
    <col min="12545" max="12546" width="66.140625" style="95" customWidth="1"/>
    <col min="12547" max="12800" width="9.140625" style="95"/>
    <col min="12801" max="12802" width="66.140625" style="95" customWidth="1"/>
    <col min="12803" max="13056" width="9.140625" style="95"/>
    <col min="13057" max="13058" width="66.140625" style="95" customWidth="1"/>
    <col min="13059" max="13312" width="9.140625" style="95"/>
    <col min="13313" max="13314" width="66.140625" style="95" customWidth="1"/>
    <col min="13315" max="13568" width="9.140625" style="95"/>
    <col min="13569" max="13570" width="66.140625" style="95" customWidth="1"/>
    <col min="13571" max="13824" width="9.140625" style="95"/>
    <col min="13825" max="13826" width="66.140625" style="95" customWidth="1"/>
    <col min="13827" max="14080" width="9.140625" style="95"/>
    <col min="14081" max="14082" width="66.140625" style="95" customWidth="1"/>
    <col min="14083" max="14336" width="9.140625" style="95"/>
    <col min="14337" max="14338" width="66.140625" style="95" customWidth="1"/>
    <col min="14339" max="14592" width="9.140625" style="95"/>
    <col min="14593" max="14594" width="66.140625" style="95" customWidth="1"/>
    <col min="14595" max="14848" width="9.140625" style="95"/>
    <col min="14849" max="14850" width="66.140625" style="95" customWidth="1"/>
    <col min="14851" max="15104" width="9.140625" style="95"/>
    <col min="15105" max="15106" width="66.140625" style="95" customWidth="1"/>
    <col min="15107" max="15360" width="9.140625" style="95"/>
    <col min="15361" max="15362" width="66.140625" style="95" customWidth="1"/>
    <col min="15363" max="15616" width="9.140625" style="95"/>
    <col min="15617" max="15618" width="66.140625" style="95" customWidth="1"/>
    <col min="15619" max="15872" width="9.140625" style="95"/>
    <col min="15873" max="15874" width="66.140625" style="95" customWidth="1"/>
    <col min="15875" max="16128" width="9.140625" style="95"/>
    <col min="16129" max="16130" width="66.140625" style="95" customWidth="1"/>
    <col min="16131" max="16384" width="9.140625" style="95"/>
  </cols>
  <sheetData>
    <row r="1" spans="1:8" ht="18.75">
      <c r="B1" s="36" t="s">
        <v>68</v>
      </c>
    </row>
    <row r="2" spans="1:8" ht="18.75">
      <c r="B2" s="14" t="s">
        <v>9</v>
      </c>
    </row>
    <row r="3" spans="1:8" ht="18.75">
      <c r="B3" s="14" t="s">
        <v>427</v>
      </c>
    </row>
    <row r="4" spans="1:8">
      <c r="B4" s="39"/>
    </row>
    <row r="5" spans="1:8" ht="18.75">
      <c r="A5" s="563" t="str">
        <f>'1. паспорт местоположение'!A5:C5</f>
        <v>Год раскрытия информации: 2020 год</v>
      </c>
      <c r="B5" s="563"/>
      <c r="C5" s="69"/>
      <c r="D5" s="69"/>
      <c r="E5" s="69"/>
      <c r="F5" s="69"/>
      <c r="G5" s="69"/>
      <c r="H5" s="69"/>
    </row>
    <row r="6" spans="1:8" ht="18.75">
      <c r="A6" s="109"/>
      <c r="B6" s="109"/>
      <c r="C6" s="109"/>
      <c r="D6" s="109"/>
      <c r="E6" s="109"/>
      <c r="F6" s="109"/>
      <c r="G6" s="109"/>
      <c r="H6" s="109"/>
    </row>
    <row r="7" spans="1:8" ht="18.75">
      <c r="A7" s="453" t="s">
        <v>8</v>
      </c>
      <c r="B7" s="453"/>
      <c r="C7" s="108"/>
      <c r="D7" s="108"/>
      <c r="E7" s="108"/>
      <c r="F7" s="108"/>
      <c r="G7" s="108"/>
      <c r="H7" s="108"/>
    </row>
    <row r="8" spans="1:8" ht="18.75">
      <c r="A8" s="108"/>
      <c r="B8" s="108"/>
      <c r="C8" s="108"/>
      <c r="D8" s="108"/>
      <c r="E8" s="108"/>
      <c r="F8" s="108"/>
      <c r="G8" s="108"/>
      <c r="H8" s="108"/>
    </row>
    <row r="9" spans="1:8" ht="18.75">
      <c r="A9" s="452" t="str">
        <f>'1. паспорт местоположение'!A9:C9</f>
        <v>АО "Крымэнерго"</v>
      </c>
      <c r="B9" s="452"/>
      <c r="C9" s="106"/>
      <c r="D9" s="106"/>
      <c r="E9" s="106"/>
      <c r="F9" s="106"/>
      <c r="G9" s="106"/>
      <c r="H9" s="106"/>
    </row>
    <row r="10" spans="1:8">
      <c r="A10" s="450" t="s">
        <v>7</v>
      </c>
      <c r="B10" s="450"/>
      <c r="C10" s="107"/>
      <c r="D10" s="107"/>
      <c r="E10" s="107"/>
      <c r="F10" s="107"/>
      <c r="G10" s="107"/>
      <c r="H10" s="107"/>
    </row>
    <row r="11" spans="1:8" ht="18.75">
      <c r="A11" s="108"/>
      <c r="B11" s="108"/>
      <c r="C11" s="108"/>
      <c r="D11" s="108"/>
      <c r="E11" s="108"/>
      <c r="F11" s="108"/>
      <c r="G11" s="108"/>
      <c r="H11" s="108"/>
    </row>
    <row r="12" spans="1:8" ht="15" customHeight="1">
      <c r="A12" s="564" t="str">
        <f>'1. паспорт местоположение'!A12:C12</f>
        <v>K_1101004</v>
      </c>
      <c r="B12" s="564"/>
      <c r="C12" s="106"/>
      <c r="D12" s="106"/>
      <c r="E12" s="106"/>
      <c r="F12" s="106"/>
      <c r="G12" s="106"/>
      <c r="H12" s="106"/>
    </row>
    <row r="13" spans="1:8">
      <c r="A13" s="450" t="s">
        <v>6</v>
      </c>
      <c r="B13" s="450"/>
      <c r="C13" s="107"/>
      <c r="D13" s="107"/>
      <c r="E13" s="107"/>
      <c r="F13" s="107"/>
      <c r="G13" s="107"/>
      <c r="H13" s="107"/>
    </row>
    <row r="14" spans="1:8" ht="18.75">
      <c r="A14" s="10"/>
      <c r="B14" s="10"/>
      <c r="C14" s="10"/>
      <c r="D14" s="10"/>
      <c r="E14" s="10"/>
      <c r="F14" s="10"/>
      <c r="G14" s="10"/>
      <c r="H14" s="10"/>
    </row>
    <row r="15" spans="1:8" ht="45.75" customHeight="1">
      <c r="A15" s="451" t="str">
        <f>'1. паспорт местоположение'!A15:C15</f>
        <v>Реконструкция ПС 110 кВ "Артек" с заменой силовых трансформаторов  и расширением РУ 10 кВ  на 4 линейных ячеек.</v>
      </c>
      <c r="B15" s="451"/>
      <c r="C15" s="106"/>
      <c r="D15" s="106"/>
      <c r="E15" s="106"/>
      <c r="F15" s="106"/>
      <c r="G15" s="106"/>
      <c r="H15" s="106"/>
    </row>
    <row r="16" spans="1:8">
      <c r="A16" s="450" t="s">
        <v>5</v>
      </c>
      <c r="B16" s="450"/>
      <c r="C16" s="107"/>
      <c r="D16" s="107"/>
      <c r="E16" s="107"/>
      <c r="F16" s="107"/>
      <c r="G16" s="107"/>
      <c r="H16" s="107"/>
    </row>
    <row r="17" spans="1:3">
      <c r="B17" s="96"/>
    </row>
    <row r="18" spans="1:3" ht="33.75" customHeight="1">
      <c r="A18" s="561" t="s">
        <v>411</v>
      </c>
      <c r="B18" s="562"/>
    </row>
    <row r="19" spans="1:3">
      <c r="B19" s="39"/>
    </row>
    <row r="20" spans="1:3" ht="16.5" thickBot="1">
      <c r="B20" s="97"/>
    </row>
    <row r="21" spans="1:3" ht="75.75" customHeight="1" thickBot="1">
      <c r="A21" s="325" t="s">
        <v>287</v>
      </c>
      <c r="B21" s="323">
        <f>'1. паспорт местоположение'!A15:C15</f>
        <v>0</v>
      </c>
      <c r="C21" s="324"/>
    </row>
    <row r="22" spans="1:3" ht="16.5" thickBot="1">
      <c r="A22" s="151" t="s">
        <v>288</v>
      </c>
      <c r="B22" s="209" t="str">
        <f>'1. паспорт местоположение'!C27</f>
        <v>Ялтинский городской совет. Гурзуф</v>
      </c>
    </row>
    <row r="23" spans="1:3" ht="20.25" customHeight="1" thickBot="1">
      <c r="A23" s="151" t="s">
        <v>273</v>
      </c>
      <c r="B23" s="210" t="s">
        <v>444</v>
      </c>
    </row>
    <row r="24" spans="1:3" ht="22.5" customHeight="1" thickBot="1">
      <c r="A24" s="151" t="s">
        <v>289</v>
      </c>
      <c r="B24" s="210" t="s">
        <v>552</v>
      </c>
    </row>
    <row r="25" spans="1:3" ht="16.5" thickBot="1">
      <c r="A25" s="152" t="s">
        <v>290</v>
      </c>
      <c r="B25" s="209" t="s">
        <v>452</v>
      </c>
    </row>
    <row r="26" spans="1:3" ht="16.5" thickBot="1">
      <c r="A26" s="153" t="s">
        <v>291</v>
      </c>
      <c r="B26" s="211" t="s">
        <v>510</v>
      </c>
    </row>
    <row r="27" spans="1:3" ht="16.5" thickBot="1">
      <c r="A27" s="154" t="s">
        <v>462</v>
      </c>
      <c r="B27" s="266">
        <v>238.08</v>
      </c>
    </row>
    <row r="28" spans="1:3" ht="44.25" customHeight="1" thickBot="1">
      <c r="A28" s="268" t="s">
        <v>292</v>
      </c>
      <c r="B28" s="267" t="s">
        <v>463</v>
      </c>
    </row>
    <row r="29" spans="1:3" ht="16.5" thickBot="1">
      <c r="A29" s="197" t="s">
        <v>293</v>
      </c>
      <c r="B29" s="198" t="s">
        <v>459</v>
      </c>
    </row>
    <row r="30" spans="1:3" ht="16.5" thickBot="1">
      <c r="A30" s="197" t="s">
        <v>294</v>
      </c>
      <c r="B30" s="198">
        <v>0</v>
      </c>
    </row>
    <row r="31" spans="1:3" ht="16.5" thickBot="1">
      <c r="A31" s="155" t="s">
        <v>295</v>
      </c>
      <c r="B31" s="155">
        <v>0</v>
      </c>
    </row>
    <row r="32" spans="1:3" ht="16.5" thickBot="1">
      <c r="A32" s="197" t="s">
        <v>296</v>
      </c>
      <c r="B32" s="198">
        <v>0</v>
      </c>
    </row>
    <row r="33" spans="1:2" ht="16.5" thickBot="1">
      <c r="A33" s="155" t="s">
        <v>297</v>
      </c>
      <c r="B33" s="155">
        <v>0</v>
      </c>
    </row>
    <row r="34" spans="1:2" ht="16.5" thickBot="1">
      <c r="A34" s="155" t="s">
        <v>298</v>
      </c>
      <c r="B34" s="155">
        <v>0</v>
      </c>
    </row>
    <row r="35" spans="1:2" ht="16.5" thickBot="1">
      <c r="A35" s="155" t="s">
        <v>299</v>
      </c>
      <c r="B35" s="155">
        <v>0</v>
      </c>
    </row>
    <row r="36" spans="1:2" ht="16.5" thickBot="1">
      <c r="A36" s="155" t="s">
        <v>300</v>
      </c>
      <c r="B36" s="155">
        <v>0</v>
      </c>
    </row>
    <row r="37" spans="1:2" ht="32.25" thickBot="1">
      <c r="A37" s="197" t="s">
        <v>301</v>
      </c>
      <c r="B37" s="198">
        <v>0</v>
      </c>
    </row>
    <row r="38" spans="1:2" ht="16.5" thickBot="1">
      <c r="A38" s="155" t="s">
        <v>297</v>
      </c>
      <c r="B38" s="155">
        <v>0</v>
      </c>
    </row>
    <row r="39" spans="1:2" ht="16.5" thickBot="1">
      <c r="A39" s="155" t="s">
        <v>298</v>
      </c>
      <c r="B39" s="155">
        <v>0</v>
      </c>
    </row>
    <row r="40" spans="1:2" ht="16.5" thickBot="1">
      <c r="A40" s="155" t="s">
        <v>299</v>
      </c>
      <c r="B40" s="155">
        <v>0</v>
      </c>
    </row>
    <row r="41" spans="1:2" ht="16.5" thickBot="1">
      <c r="A41" s="155" t="s">
        <v>300</v>
      </c>
      <c r="B41" s="155">
        <v>0</v>
      </c>
    </row>
    <row r="42" spans="1:2" ht="16.5" thickBot="1">
      <c r="A42" s="197" t="s">
        <v>302</v>
      </c>
      <c r="B42" s="198">
        <v>0</v>
      </c>
    </row>
    <row r="43" spans="1:2" ht="16.5" thickBot="1">
      <c r="A43" s="155" t="s">
        <v>297</v>
      </c>
      <c r="B43" s="155">
        <v>0</v>
      </c>
    </row>
    <row r="44" spans="1:2" ht="16.5" thickBot="1">
      <c r="A44" s="155" t="s">
        <v>298</v>
      </c>
      <c r="B44" s="155">
        <v>0</v>
      </c>
    </row>
    <row r="45" spans="1:2" ht="16.5" thickBot="1">
      <c r="A45" s="155" t="s">
        <v>299</v>
      </c>
      <c r="B45" s="155">
        <v>0</v>
      </c>
    </row>
    <row r="46" spans="1:2" ht="16.5" thickBot="1">
      <c r="A46" s="155" t="s">
        <v>300</v>
      </c>
      <c r="B46" s="155">
        <v>0</v>
      </c>
    </row>
    <row r="47" spans="1:2" ht="32.25" thickBot="1">
      <c r="A47" s="199" t="s">
        <v>303</v>
      </c>
      <c r="B47" s="200">
        <v>0</v>
      </c>
    </row>
    <row r="48" spans="1:2" ht="16.5" thickBot="1">
      <c r="A48" s="158" t="s">
        <v>295</v>
      </c>
      <c r="B48" s="157">
        <v>0</v>
      </c>
    </row>
    <row r="49" spans="1:2" ht="16.5" thickBot="1">
      <c r="A49" s="158" t="s">
        <v>304</v>
      </c>
      <c r="B49" s="157">
        <v>0</v>
      </c>
    </row>
    <row r="50" spans="1:2" ht="16.5" thickBot="1">
      <c r="A50" s="158" t="s">
        <v>305</v>
      </c>
      <c r="B50" s="157">
        <v>0</v>
      </c>
    </row>
    <row r="51" spans="1:2" ht="16.5" thickBot="1">
      <c r="A51" s="158" t="s">
        <v>306</v>
      </c>
      <c r="B51" s="157">
        <v>0</v>
      </c>
    </row>
    <row r="52" spans="1:2" ht="16.5" thickBot="1">
      <c r="A52" s="201" t="s">
        <v>307</v>
      </c>
      <c r="B52" s="202">
        <v>0</v>
      </c>
    </row>
    <row r="53" spans="1:2" ht="16.5" thickBot="1">
      <c r="A53" s="201" t="s">
        <v>308</v>
      </c>
      <c r="B53" s="202">
        <v>0</v>
      </c>
    </row>
    <row r="54" spans="1:2" ht="16.5" thickBot="1">
      <c r="A54" s="201" t="s">
        <v>309</v>
      </c>
      <c r="B54" s="202">
        <v>0</v>
      </c>
    </row>
    <row r="55" spans="1:2" ht="16.5" thickBot="1">
      <c r="A55" s="203" t="s">
        <v>310</v>
      </c>
      <c r="B55" s="204">
        <v>0</v>
      </c>
    </row>
    <row r="56" spans="1:2">
      <c r="A56" s="156" t="s">
        <v>311</v>
      </c>
      <c r="B56" s="558" t="s">
        <v>459</v>
      </c>
    </row>
    <row r="57" spans="1:2">
      <c r="A57" s="160" t="s">
        <v>312</v>
      </c>
      <c r="B57" s="559"/>
    </row>
    <row r="58" spans="1:2">
      <c r="A58" s="160" t="s">
        <v>313</v>
      </c>
      <c r="B58" s="559"/>
    </row>
    <row r="59" spans="1:2">
      <c r="A59" s="160" t="s">
        <v>314</v>
      </c>
      <c r="B59" s="559"/>
    </row>
    <row r="60" spans="1:2">
      <c r="A60" s="160" t="s">
        <v>315</v>
      </c>
      <c r="B60" s="559"/>
    </row>
    <row r="61" spans="1:2" ht="16.5" thickBot="1">
      <c r="A61" s="161" t="s">
        <v>316</v>
      </c>
      <c r="B61" s="560"/>
    </row>
    <row r="62" spans="1:2" ht="16.5" thickBot="1">
      <c r="A62" s="158" t="s">
        <v>317</v>
      </c>
      <c r="B62" s="162" t="s">
        <v>459</v>
      </c>
    </row>
    <row r="63" spans="1:2" ht="32.25" thickBot="1">
      <c r="A63" s="152" t="s">
        <v>318</v>
      </c>
      <c r="B63" s="162" t="s">
        <v>459</v>
      </c>
    </row>
    <row r="64" spans="1:2" ht="16.5" thickBot="1">
      <c r="A64" s="158" t="s">
        <v>295</v>
      </c>
      <c r="B64" s="163"/>
    </row>
    <row r="65" spans="1:2" ht="16.5" thickBot="1">
      <c r="A65" s="158" t="s">
        <v>319</v>
      </c>
      <c r="B65" s="162" t="s">
        <v>459</v>
      </c>
    </row>
    <row r="66" spans="1:2" ht="16.5" thickBot="1">
      <c r="A66" s="158" t="s">
        <v>320</v>
      </c>
      <c r="B66" s="163" t="s">
        <v>459</v>
      </c>
    </row>
    <row r="67" spans="1:2" ht="16.5" thickBot="1">
      <c r="A67" s="164" t="s">
        <v>321</v>
      </c>
      <c r="B67" s="165" t="s">
        <v>459</v>
      </c>
    </row>
    <row r="68" spans="1:2" ht="16.5" thickBot="1">
      <c r="A68" s="152" t="s">
        <v>322</v>
      </c>
      <c r="B68" s="159" t="s">
        <v>459</v>
      </c>
    </row>
    <row r="69" spans="1:2" ht="16.5" thickBot="1">
      <c r="A69" s="160" t="s">
        <v>323</v>
      </c>
      <c r="B69" s="166" t="s">
        <v>459</v>
      </c>
    </row>
    <row r="70" spans="1:2" ht="16.5" thickBot="1">
      <c r="A70" s="160" t="s">
        <v>324</v>
      </c>
      <c r="B70" s="166" t="s">
        <v>459</v>
      </c>
    </row>
    <row r="71" spans="1:2" ht="16.5" thickBot="1">
      <c r="A71" s="160" t="s">
        <v>325</v>
      </c>
      <c r="B71" s="166" t="s">
        <v>459</v>
      </c>
    </row>
    <row r="72" spans="1:2" ht="26.25" customHeight="1" thickBot="1">
      <c r="A72" s="167" t="s">
        <v>326</v>
      </c>
      <c r="B72" s="163" t="s">
        <v>465</v>
      </c>
    </row>
    <row r="73" spans="1:2" ht="20.25" customHeight="1">
      <c r="A73" s="156" t="s">
        <v>327</v>
      </c>
      <c r="B73" s="558" t="s">
        <v>464</v>
      </c>
    </row>
    <row r="74" spans="1:2">
      <c r="A74" s="160" t="s">
        <v>328</v>
      </c>
      <c r="B74" s="559"/>
    </row>
    <row r="75" spans="1:2">
      <c r="A75" s="160" t="s">
        <v>329</v>
      </c>
      <c r="B75" s="559"/>
    </row>
    <row r="76" spans="1:2">
      <c r="A76" s="160" t="s">
        <v>330</v>
      </c>
      <c r="B76" s="559"/>
    </row>
    <row r="77" spans="1:2">
      <c r="A77" s="160" t="s">
        <v>331</v>
      </c>
      <c r="B77" s="559"/>
    </row>
    <row r="78" spans="1:2" ht="16.5" thickBot="1">
      <c r="A78" s="168" t="s">
        <v>332</v>
      </c>
      <c r="B78" s="560"/>
    </row>
    <row r="81" spans="1:2">
      <c r="A81" s="98"/>
      <c r="B81" s="99"/>
    </row>
    <row r="82" spans="1:2">
      <c r="B82" s="100"/>
    </row>
    <row r="83" spans="1:2">
      <c r="B83" s="101"/>
    </row>
  </sheetData>
  <mergeCells count="11">
    <mergeCell ref="A5:B5"/>
    <mergeCell ref="A7:B7"/>
    <mergeCell ref="A9:B9"/>
    <mergeCell ref="A10:B10"/>
    <mergeCell ref="A12:B12"/>
    <mergeCell ref="B73:B78"/>
    <mergeCell ref="A13:B13"/>
    <mergeCell ref="A15:B15"/>
    <mergeCell ref="A16:B16"/>
    <mergeCell ref="A18:B18"/>
    <mergeCell ref="B56:B61"/>
  </mergeCells>
  <pageMargins left="0.11811023622047245" right="0" top="0.74803149606299213" bottom="0.74803149606299213" header="0.31496062992125984" footer="0.31496062992125984"/>
  <pageSetup paperSize="9" scale="50"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S22" sqref="S22"/>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49" t="str">
        <f>'1. паспорт местоположение'!A5:C5</f>
        <v>Год раскрытия информации: 2020 год</v>
      </c>
      <c r="B4" s="449"/>
      <c r="C4" s="449"/>
      <c r="D4" s="449"/>
      <c r="E4" s="449"/>
      <c r="F4" s="449"/>
      <c r="G4" s="449"/>
      <c r="H4" s="449"/>
      <c r="I4" s="449"/>
      <c r="J4" s="449"/>
      <c r="K4" s="449"/>
      <c r="L4" s="449"/>
      <c r="M4" s="449"/>
      <c r="N4" s="449"/>
      <c r="O4" s="449"/>
      <c r="P4" s="449"/>
      <c r="Q4" s="449"/>
      <c r="R4" s="449"/>
      <c r="S4" s="449"/>
    </row>
    <row r="5" spans="1:28" s="11" customFormat="1" ht="15.75">
      <c r="A5" s="16"/>
    </row>
    <row r="6" spans="1:28" s="11" customFormat="1" ht="18.75">
      <c r="A6" s="453" t="s">
        <v>8</v>
      </c>
      <c r="B6" s="453"/>
      <c r="C6" s="453"/>
      <c r="D6" s="453"/>
      <c r="E6" s="453"/>
      <c r="F6" s="453"/>
      <c r="G6" s="453"/>
      <c r="H6" s="453"/>
      <c r="I6" s="453"/>
      <c r="J6" s="453"/>
      <c r="K6" s="453"/>
      <c r="L6" s="453"/>
      <c r="M6" s="453"/>
      <c r="N6" s="453"/>
      <c r="O6" s="453"/>
      <c r="P6" s="453"/>
      <c r="Q6" s="453"/>
      <c r="R6" s="453"/>
      <c r="S6" s="453"/>
      <c r="T6" s="12"/>
      <c r="U6" s="12"/>
      <c r="V6" s="12"/>
      <c r="W6" s="12"/>
      <c r="X6" s="12"/>
      <c r="Y6" s="12"/>
      <c r="Z6" s="12"/>
      <c r="AA6" s="12"/>
      <c r="AB6" s="12"/>
    </row>
    <row r="7" spans="1:28" s="11" customFormat="1" ht="18.75">
      <c r="A7" s="453"/>
      <c r="B7" s="453"/>
      <c r="C7" s="453"/>
      <c r="D7" s="453"/>
      <c r="E7" s="453"/>
      <c r="F7" s="453"/>
      <c r="G7" s="453"/>
      <c r="H7" s="453"/>
      <c r="I7" s="453"/>
      <c r="J7" s="453"/>
      <c r="K7" s="453"/>
      <c r="L7" s="453"/>
      <c r="M7" s="453"/>
      <c r="N7" s="453"/>
      <c r="O7" s="453"/>
      <c r="P7" s="453"/>
      <c r="Q7" s="453"/>
      <c r="R7" s="453"/>
      <c r="S7" s="453"/>
      <c r="T7" s="12"/>
      <c r="U7" s="12"/>
      <c r="V7" s="12"/>
      <c r="W7" s="12"/>
      <c r="X7" s="12"/>
      <c r="Y7" s="12"/>
      <c r="Z7" s="12"/>
      <c r="AA7" s="12"/>
      <c r="AB7" s="12"/>
    </row>
    <row r="8" spans="1:28" s="11" customFormat="1" ht="18.75">
      <c r="A8" s="452" t="str">
        <f>'1. паспорт местоположение'!A9:C9</f>
        <v>АО "Крымэнерго"</v>
      </c>
      <c r="B8" s="452"/>
      <c r="C8" s="452"/>
      <c r="D8" s="452"/>
      <c r="E8" s="452"/>
      <c r="F8" s="452"/>
      <c r="G8" s="452"/>
      <c r="H8" s="452"/>
      <c r="I8" s="452"/>
      <c r="J8" s="452"/>
      <c r="K8" s="452"/>
      <c r="L8" s="452"/>
      <c r="M8" s="452"/>
      <c r="N8" s="452"/>
      <c r="O8" s="452"/>
      <c r="P8" s="452"/>
      <c r="Q8" s="452"/>
      <c r="R8" s="452"/>
      <c r="S8" s="452"/>
      <c r="T8" s="12"/>
      <c r="U8" s="12"/>
      <c r="V8" s="12"/>
      <c r="W8" s="12"/>
      <c r="X8" s="12"/>
      <c r="Y8" s="12"/>
      <c r="Z8" s="12"/>
      <c r="AA8" s="12"/>
      <c r="AB8" s="12"/>
    </row>
    <row r="9" spans="1:28" s="11" customFormat="1" ht="18.75">
      <c r="A9" s="450" t="s">
        <v>7</v>
      </c>
      <c r="B9" s="450"/>
      <c r="C9" s="450"/>
      <c r="D9" s="450"/>
      <c r="E9" s="450"/>
      <c r="F9" s="450"/>
      <c r="G9" s="450"/>
      <c r="H9" s="450"/>
      <c r="I9" s="450"/>
      <c r="J9" s="450"/>
      <c r="K9" s="450"/>
      <c r="L9" s="450"/>
      <c r="M9" s="450"/>
      <c r="N9" s="450"/>
      <c r="O9" s="450"/>
      <c r="P9" s="450"/>
      <c r="Q9" s="450"/>
      <c r="R9" s="450"/>
      <c r="S9" s="450"/>
      <c r="T9" s="12"/>
      <c r="U9" s="12"/>
      <c r="V9" s="12"/>
      <c r="W9" s="12"/>
      <c r="X9" s="12"/>
      <c r="Y9" s="12"/>
      <c r="Z9" s="12"/>
      <c r="AA9" s="12"/>
      <c r="AB9" s="12"/>
    </row>
    <row r="10" spans="1:28" s="11" customFormat="1" ht="18.75">
      <c r="A10" s="453"/>
      <c r="B10" s="453"/>
      <c r="C10" s="453"/>
      <c r="D10" s="453"/>
      <c r="E10" s="453"/>
      <c r="F10" s="453"/>
      <c r="G10" s="453"/>
      <c r="H10" s="453"/>
      <c r="I10" s="453"/>
      <c r="J10" s="453"/>
      <c r="K10" s="453"/>
      <c r="L10" s="453"/>
      <c r="M10" s="453"/>
      <c r="N10" s="453"/>
      <c r="O10" s="453"/>
      <c r="P10" s="453"/>
      <c r="Q10" s="453"/>
      <c r="R10" s="453"/>
      <c r="S10" s="453"/>
      <c r="T10" s="12"/>
      <c r="U10" s="12"/>
      <c r="V10" s="12"/>
      <c r="W10" s="12"/>
      <c r="X10" s="12"/>
      <c r="Y10" s="12"/>
      <c r="Z10" s="12"/>
      <c r="AA10" s="12"/>
      <c r="AB10" s="12"/>
    </row>
    <row r="11" spans="1:28" s="11" customFormat="1" ht="18.75">
      <c r="A11" s="452" t="str">
        <f>'1. паспорт местоположение'!A12:C12</f>
        <v>K_1101004</v>
      </c>
      <c r="B11" s="452"/>
      <c r="C11" s="452"/>
      <c r="D11" s="452"/>
      <c r="E11" s="452"/>
      <c r="F11" s="452"/>
      <c r="G11" s="452"/>
      <c r="H11" s="452"/>
      <c r="I11" s="452"/>
      <c r="J11" s="452"/>
      <c r="K11" s="452"/>
      <c r="L11" s="452"/>
      <c r="M11" s="452"/>
      <c r="N11" s="452"/>
      <c r="O11" s="452"/>
      <c r="P11" s="452"/>
      <c r="Q11" s="452"/>
      <c r="R11" s="452"/>
      <c r="S11" s="452"/>
      <c r="T11" s="12"/>
      <c r="U11" s="12"/>
      <c r="V11" s="12"/>
      <c r="W11" s="12"/>
      <c r="X11" s="12"/>
      <c r="Y11" s="12"/>
      <c r="Z11" s="12"/>
      <c r="AA11" s="12"/>
      <c r="AB11" s="12"/>
    </row>
    <row r="12" spans="1:28" s="11" customFormat="1" ht="18.75">
      <c r="A12" s="450" t="s">
        <v>6</v>
      </c>
      <c r="B12" s="450"/>
      <c r="C12" s="450"/>
      <c r="D12" s="450"/>
      <c r="E12" s="450"/>
      <c r="F12" s="450"/>
      <c r="G12" s="450"/>
      <c r="H12" s="450"/>
      <c r="I12" s="450"/>
      <c r="J12" s="450"/>
      <c r="K12" s="450"/>
      <c r="L12" s="450"/>
      <c r="M12" s="450"/>
      <c r="N12" s="450"/>
      <c r="O12" s="450"/>
      <c r="P12" s="450"/>
      <c r="Q12" s="450"/>
      <c r="R12" s="450"/>
      <c r="S12" s="450"/>
      <c r="T12" s="12"/>
      <c r="U12" s="12"/>
      <c r="V12" s="12"/>
      <c r="W12" s="12"/>
      <c r="X12" s="12"/>
      <c r="Y12" s="12"/>
      <c r="Z12" s="12"/>
      <c r="AA12" s="12"/>
      <c r="AB12" s="12"/>
    </row>
    <row r="13" spans="1:28" s="8" customFormat="1" ht="15.75" customHeight="1">
      <c r="A13" s="457"/>
      <c r="B13" s="457"/>
      <c r="C13" s="457"/>
      <c r="D13" s="457"/>
      <c r="E13" s="457"/>
      <c r="F13" s="457"/>
      <c r="G13" s="457"/>
      <c r="H13" s="457"/>
      <c r="I13" s="457"/>
      <c r="J13" s="457"/>
      <c r="K13" s="457"/>
      <c r="L13" s="457"/>
      <c r="M13" s="457"/>
      <c r="N13" s="457"/>
      <c r="O13" s="457"/>
      <c r="P13" s="457"/>
      <c r="Q13" s="457"/>
      <c r="R13" s="457"/>
      <c r="S13" s="457"/>
      <c r="T13" s="9"/>
      <c r="U13" s="9"/>
      <c r="V13" s="9"/>
      <c r="W13" s="9"/>
      <c r="X13" s="9"/>
      <c r="Y13" s="9"/>
      <c r="Z13" s="9"/>
      <c r="AA13" s="9"/>
      <c r="AB13" s="9"/>
    </row>
    <row r="14" spans="1:28" s="3" customFormat="1" ht="18.75">
      <c r="A14" s="452" t="str">
        <f>'1. паспорт местоположение'!A15:C15</f>
        <v>Реконструкция ПС 110 кВ "Артек" с заменой силовых трансформаторов  и расширением РУ 10 кВ  на 4 линейных ячеек.</v>
      </c>
      <c r="B14" s="452"/>
      <c r="C14" s="452"/>
      <c r="D14" s="452"/>
      <c r="E14" s="452"/>
      <c r="F14" s="452"/>
      <c r="G14" s="452"/>
      <c r="H14" s="452"/>
      <c r="I14" s="452"/>
      <c r="J14" s="452"/>
      <c r="K14" s="452"/>
      <c r="L14" s="452"/>
      <c r="M14" s="452"/>
      <c r="N14" s="452"/>
      <c r="O14" s="452"/>
      <c r="P14" s="452"/>
      <c r="Q14" s="452"/>
      <c r="R14" s="452"/>
      <c r="S14" s="452"/>
      <c r="T14" s="7"/>
      <c r="U14" s="7"/>
      <c r="V14" s="7"/>
      <c r="W14" s="7"/>
      <c r="X14" s="7"/>
      <c r="Y14" s="7"/>
      <c r="Z14" s="7"/>
      <c r="AA14" s="7"/>
      <c r="AB14" s="7"/>
    </row>
    <row r="15" spans="1:28" s="3" customFormat="1" ht="15" customHeight="1">
      <c r="A15" s="450" t="s">
        <v>5</v>
      </c>
      <c r="B15" s="450"/>
      <c r="C15" s="450"/>
      <c r="D15" s="450"/>
      <c r="E15" s="450"/>
      <c r="F15" s="450"/>
      <c r="G15" s="450"/>
      <c r="H15" s="450"/>
      <c r="I15" s="450"/>
      <c r="J15" s="450"/>
      <c r="K15" s="450"/>
      <c r="L15" s="450"/>
      <c r="M15" s="450"/>
      <c r="N15" s="450"/>
      <c r="O15" s="450"/>
      <c r="P15" s="450"/>
      <c r="Q15" s="450"/>
      <c r="R15" s="450"/>
      <c r="S15" s="450"/>
      <c r="T15" s="5"/>
      <c r="U15" s="5"/>
      <c r="V15" s="5"/>
      <c r="W15" s="5"/>
      <c r="X15" s="5"/>
      <c r="Y15" s="5"/>
      <c r="Z15" s="5"/>
      <c r="AA15" s="5"/>
      <c r="AB15" s="5"/>
    </row>
    <row r="16" spans="1:28" s="3" customFormat="1" ht="15" customHeight="1">
      <c r="A16" s="458"/>
      <c r="B16" s="458"/>
      <c r="C16" s="458"/>
      <c r="D16" s="458"/>
      <c r="E16" s="458"/>
      <c r="F16" s="458"/>
      <c r="G16" s="458"/>
      <c r="H16" s="458"/>
      <c r="I16" s="458"/>
      <c r="J16" s="458"/>
      <c r="K16" s="458"/>
      <c r="L16" s="458"/>
      <c r="M16" s="458"/>
      <c r="N16" s="458"/>
      <c r="O16" s="458"/>
      <c r="P16" s="458"/>
      <c r="Q16" s="458"/>
      <c r="R16" s="458"/>
      <c r="S16" s="458"/>
      <c r="T16" s="4"/>
      <c r="U16" s="4"/>
      <c r="V16" s="4"/>
      <c r="W16" s="4"/>
      <c r="X16" s="4"/>
      <c r="Y16" s="4"/>
    </row>
    <row r="17" spans="1:28" s="3" customFormat="1" ht="45.75" customHeight="1">
      <c r="A17" s="451" t="s">
        <v>388</v>
      </c>
      <c r="B17" s="451"/>
      <c r="C17" s="451"/>
      <c r="D17" s="451"/>
      <c r="E17" s="451"/>
      <c r="F17" s="451"/>
      <c r="G17" s="451"/>
      <c r="H17" s="451"/>
      <c r="I17" s="451"/>
      <c r="J17" s="451"/>
      <c r="K17" s="451"/>
      <c r="L17" s="451"/>
      <c r="M17" s="451"/>
      <c r="N17" s="451"/>
      <c r="O17" s="451"/>
      <c r="P17" s="451"/>
      <c r="Q17" s="451"/>
      <c r="R17" s="451"/>
      <c r="S17" s="451"/>
      <c r="T17" s="6"/>
      <c r="U17" s="6"/>
      <c r="V17" s="6"/>
      <c r="W17" s="6"/>
      <c r="X17" s="6"/>
      <c r="Y17" s="6"/>
      <c r="Z17" s="6"/>
      <c r="AA17" s="6"/>
      <c r="AB17" s="6"/>
    </row>
    <row r="18" spans="1:28" s="3" customFormat="1" ht="15" customHeight="1">
      <c r="A18" s="459"/>
      <c r="B18" s="459"/>
      <c r="C18" s="459"/>
      <c r="D18" s="459"/>
      <c r="E18" s="459"/>
      <c r="F18" s="459"/>
      <c r="G18" s="459"/>
      <c r="H18" s="459"/>
      <c r="I18" s="459"/>
      <c r="J18" s="459"/>
      <c r="K18" s="459"/>
      <c r="L18" s="459"/>
      <c r="M18" s="459"/>
      <c r="N18" s="459"/>
      <c r="O18" s="459"/>
      <c r="P18" s="459"/>
      <c r="Q18" s="459"/>
      <c r="R18" s="459"/>
      <c r="S18" s="459"/>
      <c r="T18" s="4"/>
      <c r="U18" s="4"/>
      <c r="V18" s="4"/>
      <c r="W18" s="4"/>
      <c r="X18" s="4"/>
      <c r="Y18" s="4"/>
    </row>
    <row r="19" spans="1:28" s="3" customFormat="1" ht="54" customHeight="1">
      <c r="A19" s="454" t="s">
        <v>4</v>
      </c>
      <c r="B19" s="454" t="s">
        <v>502</v>
      </c>
      <c r="C19" s="455" t="s">
        <v>286</v>
      </c>
      <c r="D19" s="454" t="s">
        <v>285</v>
      </c>
      <c r="E19" s="454" t="s">
        <v>95</v>
      </c>
      <c r="F19" s="454" t="s">
        <v>94</v>
      </c>
      <c r="G19" s="454" t="s">
        <v>281</v>
      </c>
      <c r="H19" s="454" t="s">
        <v>93</v>
      </c>
      <c r="I19" s="454" t="s">
        <v>92</v>
      </c>
      <c r="J19" s="454" t="s">
        <v>91</v>
      </c>
      <c r="K19" s="454" t="s">
        <v>90</v>
      </c>
      <c r="L19" s="454" t="s">
        <v>89</v>
      </c>
      <c r="M19" s="454" t="s">
        <v>88</v>
      </c>
      <c r="N19" s="454" t="s">
        <v>87</v>
      </c>
      <c r="O19" s="454" t="s">
        <v>86</v>
      </c>
      <c r="P19" s="454" t="s">
        <v>85</v>
      </c>
      <c r="Q19" s="454" t="s">
        <v>284</v>
      </c>
      <c r="R19" s="454"/>
      <c r="S19" s="454" t="s">
        <v>508</v>
      </c>
      <c r="T19" s="4"/>
      <c r="U19" s="4"/>
      <c r="V19" s="4"/>
      <c r="W19" s="4"/>
      <c r="X19" s="4"/>
      <c r="Y19" s="4"/>
    </row>
    <row r="20" spans="1:28" s="3" customFormat="1" ht="192" customHeight="1">
      <c r="A20" s="454"/>
      <c r="B20" s="454"/>
      <c r="C20" s="456"/>
      <c r="D20" s="454"/>
      <c r="E20" s="454"/>
      <c r="F20" s="454"/>
      <c r="G20" s="454"/>
      <c r="H20" s="454"/>
      <c r="I20" s="454"/>
      <c r="J20" s="454"/>
      <c r="K20" s="454"/>
      <c r="L20" s="454"/>
      <c r="M20" s="454"/>
      <c r="N20" s="454"/>
      <c r="O20" s="454"/>
      <c r="P20" s="454"/>
      <c r="Q20" s="125" t="s">
        <v>282</v>
      </c>
      <c r="R20" s="126" t="s">
        <v>283</v>
      </c>
      <c r="S20" s="454"/>
      <c r="T20" s="25"/>
      <c r="U20" s="25"/>
      <c r="V20" s="25"/>
      <c r="W20" s="25"/>
      <c r="X20" s="25"/>
      <c r="Y20" s="25"/>
      <c r="Z20" s="24"/>
      <c r="AA20" s="24"/>
      <c r="AB20" s="24"/>
    </row>
    <row r="21" spans="1:28" s="3" customFormat="1" ht="20.25">
      <c r="A21" s="125">
        <v>1</v>
      </c>
      <c r="B21" s="127">
        <v>2</v>
      </c>
      <c r="C21" s="125">
        <v>3</v>
      </c>
      <c r="D21" s="127">
        <v>4</v>
      </c>
      <c r="E21" s="125">
        <v>5</v>
      </c>
      <c r="F21" s="127">
        <v>6</v>
      </c>
      <c r="G21" s="125">
        <v>7</v>
      </c>
      <c r="H21" s="127">
        <v>8</v>
      </c>
      <c r="I21" s="125">
        <v>9</v>
      </c>
      <c r="J21" s="127">
        <v>10</v>
      </c>
      <c r="K21" s="125">
        <v>11</v>
      </c>
      <c r="L21" s="127">
        <v>12</v>
      </c>
      <c r="M21" s="125">
        <v>13</v>
      </c>
      <c r="N21" s="127">
        <v>14</v>
      </c>
      <c r="O21" s="125">
        <v>15</v>
      </c>
      <c r="P21" s="127">
        <v>16</v>
      </c>
      <c r="Q21" s="125">
        <v>17</v>
      </c>
      <c r="R21" s="127">
        <v>18</v>
      </c>
      <c r="S21" s="125">
        <v>19</v>
      </c>
      <c r="T21" s="25"/>
      <c r="U21" s="25"/>
      <c r="V21" s="25"/>
      <c r="W21" s="25"/>
      <c r="X21" s="25"/>
      <c r="Y21" s="25"/>
      <c r="Z21" s="24"/>
      <c r="AA21" s="24"/>
      <c r="AB21" s="24"/>
    </row>
    <row r="22" spans="1:28" s="3" customFormat="1" ht="174" customHeight="1">
      <c r="A22" s="326">
        <v>1</v>
      </c>
      <c r="B22" s="127" t="s">
        <v>459</v>
      </c>
      <c r="C22" s="127" t="s">
        <v>459</v>
      </c>
      <c r="D22" s="127" t="s">
        <v>459</v>
      </c>
      <c r="E22" s="127" t="s">
        <v>459</v>
      </c>
      <c r="F22" s="127" t="s">
        <v>459</v>
      </c>
      <c r="G22" s="127" t="s">
        <v>459</v>
      </c>
      <c r="H22" s="127" t="s">
        <v>459</v>
      </c>
      <c r="I22" s="127" t="s">
        <v>459</v>
      </c>
      <c r="J22" s="127" t="s">
        <v>459</v>
      </c>
      <c r="K22" s="127" t="s">
        <v>459</v>
      </c>
      <c r="L22" s="127" t="s">
        <v>459</v>
      </c>
      <c r="M22" s="41" t="s">
        <v>459</v>
      </c>
      <c r="N22" s="41" t="s">
        <v>459</v>
      </c>
      <c r="O22" s="41" t="s">
        <v>459</v>
      </c>
      <c r="P22" s="41" t="s">
        <v>459</v>
      </c>
      <c r="Q22" s="127" t="s">
        <v>459</v>
      </c>
      <c r="R22" s="127" t="s">
        <v>459</v>
      </c>
      <c r="S22" s="127" t="s">
        <v>459</v>
      </c>
      <c r="T22" s="25"/>
      <c r="U22" s="25"/>
      <c r="V22" s="25"/>
      <c r="W22" s="25"/>
      <c r="X22" s="25"/>
      <c r="Y22" s="25"/>
      <c r="Z22" s="24"/>
      <c r="AA22" s="24"/>
      <c r="AB22" s="24"/>
    </row>
    <row r="23" spans="1:28" s="3" customFormat="1" ht="32.25" customHeight="1">
      <c r="A23" s="38">
        <v>2</v>
      </c>
      <c r="B23" s="41"/>
      <c r="C23" s="41"/>
      <c r="D23" s="127"/>
      <c r="E23" s="41"/>
      <c r="F23" s="41"/>
      <c r="G23" s="41"/>
      <c r="H23" s="41"/>
      <c r="I23" s="41"/>
      <c r="J23" s="41"/>
      <c r="K23" s="41"/>
      <c r="L23" s="41"/>
      <c r="M23" s="41"/>
      <c r="N23" s="41"/>
      <c r="O23" s="41"/>
      <c r="P23" s="41"/>
      <c r="Q23" s="41"/>
      <c r="R23" s="110"/>
      <c r="S23" s="42"/>
      <c r="T23" s="25"/>
      <c r="U23" s="25"/>
      <c r="V23" s="25"/>
      <c r="W23" s="25"/>
      <c r="X23" s="25"/>
      <c r="Y23" s="25"/>
      <c r="Z23" s="24"/>
      <c r="AA23" s="24"/>
      <c r="AB23" s="24"/>
    </row>
    <row r="24" spans="1:28" ht="20.25" customHeight="1">
      <c r="A24" s="92"/>
      <c r="B24" s="41" t="s">
        <v>280</v>
      </c>
      <c r="C24" s="41"/>
      <c r="D24" s="41"/>
      <c r="E24" s="92"/>
      <c r="F24" s="92"/>
      <c r="G24" s="92"/>
      <c r="H24" s="92"/>
      <c r="I24" s="92"/>
      <c r="J24" s="92"/>
      <c r="K24" s="92"/>
      <c r="L24" s="92"/>
      <c r="M24" s="92"/>
      <c r="N24" s="92"/>
      <c r="O24" s="92"/>
      <c r="P24" s="92"/>
      <c r="Q24" s="93"/>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DI46"/>
  <sheetViews>
    <sheetView view="pageBreakPreview" zoomScale="70" zoomScaleNormal="60" zoomScaleSheetLayoutView="70" workbookViewId="0">
      <selection activeCell="F27" sqref="F27"/>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1" t="str">
        <f>'1. паспорт местоположение'!A5:C5</f>
        <v>Год раскрытия информации: 2020 год</v>
      </c>
      <c r="B6" s="471"/>
      <c r="C6" s="471"/>
      <c r="D6" s="471"/>
      <c r="E6" s="471"/>
      <c r="F6" s="471"/>
      <c r="G6" s="471"/>
      <c r="H6" s="471"/>
      <c r="I6" s="471"/>
      <c r="J6" s="471"/>
      <c r="K6" s="471"/>
      <c r="L6" s="471"/>
      <c r="M6" s="471"/>
      <c r="N6" s="471"/>
      <c r="O6" s="471"/>
      <c r="P6" s="471"/>
      <c r="Q6" s="471"/>
      <c r="R6" s="471"/>
      <c r="S6" s="471"/>
      <c r="T6" s="471"/>
    </row>
    <row r="7" spans="1:20" s="11" customFormat="1">
      <c r="A7" s="16"/>
      <c r="H7" s="15"/>
    </row>
    <row r="8" spans="1:20" s="11" customFormat="1" ht="18.75">
      <c r="A8" s="453" t="s">
        <v>8</v>
      </c>
      <c r="B8" s="453"/>
      <c r="C8" s="453"/>
      <c r="D8" s="453"/>
      <c r="E8" s="453"/>
      <c r="F8" s="453"/>
      <c r="G8" s="453"/>
      <c r="H8" s="453"/>
      <c r="I8" s="453"/>
      <c r="J8" s="453"/>
      <c r="K8" s="453"/>
      <c r="L8" s="453"/>
      <c r="M8" s="453"/>
      <c r="N8" s="453"/>
      <c r="O8" s="453"/>
      <c r="P8" s="453"/>
      <c r="Q8" s="453"/>
      <c r="R8" s="453"/>
      <c r="S8" s="453"/>
      <c r="T8" s="453"/>
    </row>
    <row r="9" spans="1:20" s="11" customFormat="1" ht="18.75">
      <c r="A9" s="453"/>
      <c r="B9" s="453"/>
      <c r="C9" s="453"/>
      <c r="D9" s="453"/>
      <c r="E9" s="453"/>
      <c r="F9" s="453"/>
      <c r="G9" s="453"/>
      <c r="H9" s="453"/>
      <c r="I9" s="453"/>
      <c r="J9" s="453"/>
      <c r="K9" s="453"/>
      <c r="L9" s="453"/>
      <c r="M9" s="453"/>
      <c r="N9" s="453"/>
      <c r="O9" s="453"/>
      <c r="P9" s="453"/>
      <c r="Q9" s="453"/>
      <c r="R9" s="453"/>
      <c r="S9" s="453"/>
      <c r="T9" s="453"/>
    </row>
    <row r="10" spans="1:20" s="11" customFormat="1" ht="20.25">
      <c r="A10" s="475" t="str">
        <f>'1. паспорт местоположение'!A9:C9</f>
        <v>АО "Крымэнерго"</v>
      </c>
      <c r="B10" s="475"/>
      <c r="C10" s="475"/>
      <c r="D10" s="475"/>
      <c r="E10" s="475"/>
      <c r="F10" s="475"/>
      <c r="G10" s="475"/>
      <c r="H10" s="475"/>
      <c r="I10" s="475"/>
      <c r="J10" s="475"/>
      <c r="K10" s="475"/>
      <c r="L10" s="475"/>
      <c r="M10" s="475"/>
      <c r="N10" s="475"/>
      <c r="O10" s="475"/>
      <c r="P10" s="475"/>
      <c r="Q10" s="475"/>
      <c r="R10" s="475"/>
      <c r="S10" s="475"/>
      <c r="T10" s="475"/>
    </row>
    <row r="11" spans="1:20" s="11" customFormat="1">
      <c r="A11" s="450" t="s">
        <v>7</v>
      </c>
      <c r="B11" s="450"/>
      <c r="C11" s="450"/>
      <c r="D11" s="450"/>
      <c r="E11" s="450"/>
      <c r="F11" s="450"/>
      <c r="G11" s="450"/>
      <c r="H11" s="450"/>
      <c r="I11" s="450"/>
      <c r="J11" s="450"/>
      <c r="K11" s="450"/>
      <c r="L11" s="450"/>
      <c r="M11" s="450"/>
      <c r="N11" s="450"/>
      <c r="O11" s="450"/>
      <c r="P11" s="450"/>
      <c r="Q11" s="450"/>
      <c r="R11" s="450"/>
      <c r="S11" s="450"/>
      <c r="T11" s="450"/>
    </row>
    <row r="12" spans="1:20" s="11" customFormat="1" ht="18.75">
      <c r="A12" s="453"/>
      <c r="B12" s="453"/>
      <c r="C12" s="453"/>
      <c r="D12" s="453"/>
      <c r="E12" s="453"/>
      <c r="F12" s="453"/>
      <c r="G12" s="453"/>
      <c r="H12" s="453"/>
      <c r="I12" s="453"/>
      <c r="J12" s="453"/>
      <c r="K12" s="453"/>
      <c r="L12" s="453"/>
      <c r="M12" s="453"/>
      <c r="N12" s="453"/>
      <c r="O12" s="453"/>
      <c r="P12" s="453"/>
      <c r="Q12" s="453"/>
      <c r="R12" s="453"/>
      <c r="S12" s="453"/>
      <c r="T12" s="453"/>
    </row>
    <row r="13" spans="1:20" s="11" customFormat="1" ht="18.75">
      <c r="A13" s="452" t="str">
        <f>'1. паспорт местоположение'!A12:C12</f>
        <v>K_1101004</v>
      </c>
      <c r="B13" s="452"/>
      <c r="C13" s="452"/>
      <c r="D13" s="452"/>
      <c r="E13" s="452"/>
      <c r="F13" s="452"/>
      <c r="G13" s="452"/>
      <c r="H13" s="452"/>
      <c r="I13" s="452"/>
      <c r="J13" s="452"/>
      <c r="K13" s="452"/>
      <c r="L13" s="452"/>
      <c r="M13" s="452"/>
      <c r="N13" s="452"/>
      <c r="O13" s="452"/>
      <c r="P13" s="452"/>
      <c r="Q13" s="452"/>
      <c r="R13" s="452"/>
      <c r="S13" s="452"/>
      <c r="T13" s="452"/>
    </row>
    <row r="14" spans="1:20" s="11" customFormat="1">
      <c r="A14" s="450" t="s">
        <v>6</v>
      </c>
      <c r="B14" s="450"/>
      <c r="C14" s="450"/>
      <c r="D14" s="450"/>
      <c r="E14" s="450"/>
      <c r="F14" s="450"/>
      <c r="G14" s="450"/>
      <c r="H14" s="450"/>
      <c r="I14" s="450"/>
      <c r="J14" s="450"/>
      <c r="K14" s="450"/>
      <c r="L14" s="450"/>
      <c r="M14" s="450"/>
      <c r="N14" s="450"/>
      <c r="O14" s="450"/>
      <c r="P14" s="450"/>
      <c r="Q14" s="450"/>
      <c r="R14" s="450"/>
      <c r="S14" s="450"/>
      <c r="T14" s="450"/>
    </row>
    <row r="15" spans="1:20" s="8" customFormat="1" ht="18.75">
      <c r="A15" s="457"/>
      <c r="B15" s="457"/>
      <c r="C15" s="457"/>
      <c r="D15" s="457"/>
      <c r="E15" s="457"/>
      <c r="F15" s="457"/>
      <c r="G15" s="457"/>
      <c r="H15" s="457"/>
      <c r="I15" s="457"/>
      <c r="J15" s="457"/>
      <c r="K15" s="457"/>
      <c r="L15" s="457"/>
      <c r="M15" s="457"/>
      <c r="N15" s="457"/>
      <c r="O15" s="457"/>
      <c r="P15" s="457"/>
      <c r="Q15" s="457"/>
      <c r="R15" s="457"/>
      <c r="S15" s="457"/>
      <c r="T15" s="457"/>
    </row>
    <row r="16" spans="1:20" s="3" customFormat="1" ht="20.25">
      <c r="A16" s="476" t="str">
        <f>'1. паспорт местоположение'!A15:C15</f>
        <v>Реконструкция ПС 110 кВ "Артек" с заменой силовых трансформаторов  и расширением РУ 10 кВ  на 4 линейных ячеек.</v>
      </c>
      <c r="B16" s="476"/>
      <c r="C16" s="476"/>
      <c r="D16" s="476"/>
      <c r="E16" s="476"/>
      <c r="F16" s="476"/>
      <c r="G16" s="476"/>
      <c r="H16" s="476"/>
      <c r="I16" s="476"/>
      <c r="J16" s="476"/>
      <c r="K16" s="476"/>
      <c r="L16" s="476"/>
      <c r="M16" s="476"/>
      <c r="N16" s="476"/>
      <c r="O16" s="476"/>
      <c r="P16" s="476"/>
      <c r="Q16" s="476"/>
      <c r="R16" s="476"/>
      <c r="S16" s="476"/>
      <c r="T16" s="476"/>
    </row>
    <row r="17" spans="1:20" s="3" customFormat="1">
      <c r="A17" s="450" t="s">
        <v>5</v>
      </c>
      <c r="B17" s="450"/>
      <c r="C17" s="450"/>
      <c r="D17" s="450"/>
      <c r="E17" s="450"/>
      <c r="F17" s="450"/>
      <c r="G17" s="450"/>
      <c r="H17" s="450"/>
      <c r="I17" s="450"/>
      <c r="J17" s="450"/>
      <c r="K17" s="450"/>
      <c r="L17" s="450"/>
      <c r="M17" s="450"/>
      <c r="N17" s="450"/>
      <c r="O17" s="450"/>
      <c r="P17" s="450"/>
      <c r="Q17" s="450"/>
      <c r="R17" s="450"/>
      <c r="S17" s="450"/>
      <c r="T17" s="450"/>
    </row>
    <row r="18" spans="1:20" s="3" customFormat="1" ht="18.75">
      <c r="A18" s="458"/>
      <c r="B18" s="458"/>
      <c r="C18" s="458"/>
      <c r="D18" s="458"/>
      <c r="E18" s="458"/>
      <c r="F18" s="458"/>
      <c r="G18" s="458"/>
      <c r="H18" s="458"/>
      <c r="I18" s="458"/>
      <c r="J18" s="458"/>
      <c r="K18" s="458"/>
      <c r="L18" s="458"/>
      <c r="M18" s="458"/>
      <c r="N18" s="458"/>
      <c r="O18" s="458"/>
      <c r="P18" s="458"/>
      <c r="Q18" s="458"/>
      <c r="R18" s="458"/>
      <c r="S18" s="458"/>
      <c r="T18" s="458"/>
    </row>
    <row r="19" spans="1:20" s="3" customFormat="1" ht="20.25">
      <c r="A19" s="475" t="s">
        <v>392</v>
      </c>
      <c r="B19" s="475"/>
      <c r="C19" s="475"/>
      <c r="D19" s="475"/>
      <c r="E19" s="475"/>
      <c r="F19" s="475"/>
      <c r="G19" s="475"/>
      <c r="H19" s="475"/>
      <c r="I19" s="475"/>
      <c r="J19" s="475"/>
      <c r="K19" s="475"/>
      <c r="L19" s="475"/>
      <c r="M19" s="475"/>
      <c r="N19" s="475"/>
      <c r="O19" s="475"/>
      <c r="P19" s="475"/>
      <c r="Q19" s="475"/>
      <c r="R19" s="475"/>
      <c r="S19" s="475"/>
      <c r="T19" s="475"/>
    </row>
    <row r="20" spans="1:20" s="51" customFormat="1">
      <c r="A20" s="477"/>
      <c r="B20" s="477"/>
      <c r="C20" s="477"/>
      <c r="D20" s="477"/>
      <c r="E20" s="477"/>
      <c r="F20" s="477"/>
      <c r="G20" s="477"/>
      <c r="H20" s="477"/>
      <c r="I20" s="477"/>
      <c r="J20" s="477"/>
      <c r="K20" s="477"/>
      <c r="L20" s="477"/>
      <c r="M20" s="477"/>
      <c r="N20" s="477"/>
      <c r="O20" s="477"/>
      <c r="P20" s="477"/>
      <c r="Q20" s="477"/>
      <c r="R20" s="477"/>
      <c r="S20" s="477"/>
      <c r="T20" s="477"/>
    </row>
    <row r="21" spans="1:20">
      <c r="A21" s="468" t="s">
        <v>4</v>
      </c>
      <c r="B21" s="461" t="s">
        <v>210</v>
      </c>
      <c r="C21" s="462"/>
      <c r="D21" s="465" t="s">
        <v>107</v>
      </c>
      <c r="E21" s="461" t="s">
        <v>420</v>
      </c>
      <c r="F21" s="462"/>
      <c r="G21" s="461" t="s">
        <v>227</v>
      </c>
      <c r="H21" s="462"/>
      <c r="I21" s="461" t="s">
        <v>106</v>
      </c>
      <c r="J21" s="462"/>
      <c r="K21" s="465" t="s">
        <v>105</v>
      </c>
      <c r="L21" s="461" t="s">
        <v>104</v>
      </c>
      <c r="M21" s="462"/>
      <c r="N21" s="461" t="s">
        <v>416</v>
      </c>
      <c r="O21" s="462"/>
      <c r="P21" s="465" t="s">
        <v>103</v>
      </c>
      <c r="Q21" s="472" t="s">
        <v>102</v>
      </c>
      <c r="R21" s="473"/>
      <c r="S21" s="472" t="s">
        <v>101</v>
      </c>
      <c r="T21" s="474"/>
    </row>
    <row r="22" spans="1:20" ht="141.75">
      <c r="A22" s="469"/>
      <c r="B22" s="463"/>
      <c r="C22" s="464"/>
      <c r="D22" s="467"/>
      <c r="E22" s="463"/>
      <c r="F22" s="464"/>
      <c r="G22" s="463"/>
      <c r="H22" s="464"/>
      <c r="I22" s="463"/>
      <c r="J22" s="464"/>
      <c r="K22" s="466"/>
      <c r="L22" s="463"/>
      <c r="M22" s="464"/>
      <c r="N22" s="463"/>
      <c r="O22" s="464"/>
      <c r="P22" s="466"/>
      <c r="Q22" s="87" t="s">
        <v>100</v>
      </c>
      <c r="R22" s="87" t="s">
        <v>391</v>
      </c>
      <c r="S22" s="87" t="s">
        <v>99</v>
      </c>
      <c r="T22" s="87" t="s">
        <v>98</v>
      </c>
    </row>
    <row r="23" spans="1:20">
      <c r="A23" s="470"/>
      <c r="B23" s="116" t="s">
        <v>96</v>
      </c>
      <c r="C23" s="116" t="s">
        <v>97</v>
      </c>
      <c r="D23" s="466"/>
      <c r="E23" s="116" t="s">
        <v>96</v>
      </c>
      <c r="F23" s="116" t="s">
        <v>97</v>
      </c>
      <c r="G23" s="116" t="s">
        <v>96</v>
      </c>
      <c r="H23" s="116" t="s">
        <v>97</v>
      </c>
      <c r="I23" s="116" t="s">
        <v>96</v>
      </c>
      <c r="J23" s="116" t="s">
        <v>97</v>
      </c>
      <c r="K23" s="116" t="s">
        <v>96</v>
      </c>
      <c r="L23" s="116" t="s">
        <v>96</v>
      </c>
      <c r="M23" s="116" t="s">
        <v>97</v>
      </c>
      <c r="N23" s="116" t="s">
        <v>96</v>
      </c>
      <c r="O23" s="116" t="s">
        <v>97</v>
      </c>
      <c r="P23" s="117" t="s">
        <v>96</v>
      </c>
      <c r="Q23" s="87" t="s">
        <v>96</v>
      </c>
      <c r="R23" s="87" t="s">
        <v>96</v>
      </c>
      <c r="S23" s="87" t="s">
        <v>96</v>
      </c>
      <c r="T23" s="87" t="s">
        <v>96</v>
      </c>
    </row>
    <row r="24" spans="1:20">
      <c r="A24" s="52">
        <v>1</v>
      </c>
      <c r="B24" s="52">
        <v>2</v>
      </c>
      <c r="C24" s="52">
        <v>3</v>
      </c>
      <c r="D24" s="52">
        <v>4</v>
      </c>
      <c r="E24" s="52">
        <v>5</v>
      </c>
      <c r="F24" s="52">
        <v>6</v>
      </c>
      <c r="G24" s="52">
        <v>7</v>
      </c>
      <c r="H24" s="52">
        <v>8</v>
      </c>
      <c r="I24" s="52">
        <v>9</v>
      </c>
      <c r="J24" s="52">
        <v>10</v>
      </c>
      <c r="K24" s="52">
        <v>11</v>
      </c>
      <c r="L24" s="52">
        <v>12</v>
      </c>
      <c r="M24" s="52">
        <v>13</v>
      </c>
      <c r="N24" s="52">
        <v>14</v>
      </c>
      <c r="O24" s="52">
        <v>15</v>
      </c>
      <c r="P24" s="52">
        <v>16</v>
      </c>
      <c r="Q24" s="52">
        <v>17</v>
      </c>
      <c r="R24" s="52">
        <v>18</v>
      </c>
      <c r="S24" s="52">
        <v>19</v>
      </c>
      <c r="T24" s="52">
        <v>20</v>
      </c>
    </row>
    <row r="25" spans="1:20" ht="204.75">
      <c r="A25" s="439">
        <v>1</v>
      </c>
      <c r="B25" s="440" t="s">
        <v>540</v>
      </c>
      <c r="C25" s="440">
        <f>$B$9</f>
        <v>0</v>
      </c>
      <c r="D25" s="440" t="s">
        <v>503</v>
      </c>
      <c r="E25" s="440" t="s">
        <v>541</v>
      </c>
      <c r="F25" s="441" t="s">
        <v>504</v>
      </c>
      <c r="G25" s="440" t="s">
        <v>516</v>
      </c>
      <c r="H25" s="440" t="s">
        <v>516</v>
      </c>
      <c r="I25" s="440">
        <v>1973</v>
      </c>
      <c r="J25" s="442">
        <v>2022</v>
      </c>
      <c r="K25" s="442">
        <v>2022</v>
      </c>
      <c r="L25" s="442">
        <v>110</v>
      </c>
      <c r="M25" s="439">
        <v>110</v>
      </c>
      <c r="N25" s="443" t="s">
        <v>70</v>
      </c>
      <c r="O25" s="440" t="s">
        <v>542</v>
      </c>
      <c r="P25" s="442">
        <v>2017</v>
      </c>
      <c r="Q25" s="443" t="s">
        <v>543</v>
      </c>
      <c r="R25" s="440" t="str">
        <f>'[60]1.Сетевой_объект'!$L$7</f>
        <v>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v>
      </c>
      <c r="S25" s="443" t="s">
        <v>518</v>
      </c>
      <c r="T25" s="443" t="s">
        <v>518</v>
      </c>
    </row>
    <row r="26" spans="1:20" ht="204.75">
      <c r="A26" s="439">
        <v>2</v>
      </c>
      <c r="B26" s="440" t="s">
        <v>540</v>
      </c>
      <c r="C26" s="440">
        <f>$B$9</f>
        <v>0</v>
      </c>
      <c r="D26" s="440" t="s">
        <v>503</v>
      </c>
      <c r="E26" s="440" t="s">
        <v>544</v>
      </c>
      <c r="F26" s="441" t="s">
        <v>504</v>
      </c>
      <c r="G26" s="440" t="s">
        <v>519</v>
      </c>
      <c r="H26" s="440" t="s">
        <v>519</v>
      </c>
      <c r="I26" s="440">
        <v>1988</v>
      </c>
      <c r="J26" s="442">
        <v>2022</v>
      </c>
      <c r="K26" s="442">
        <v>2022</v>
      </c>
      <c r="L26" s="442">
        <v>110</v>
      </c>
      <c r="M26" s="439">
        <v>110</v>
      </c>
      <c r="N26" s="443" t="s">
        <v>70</v>
      </c>
      <c r="O26" s="440" t="s">
        <v>542</v>
      </c>
      <c r="P26" s="442">
        <v>2016</v>
      </c>
      <c r="Q26" s="443" t="s">
        <v>543</v>
      </c>
      <c r="R26" s="440" t="str">
        <f>'[60]1.Сетевой_объект'!$L$7</f>
        <v>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v>
      </c>
      <c r="S26" s="443" t="s">
        <v>518</v>
      </c>
      <c r="T26" s="443" t="s">
        <v>518</v>
      </c>
    </row>
    <row r="27" spans="1:20" ht="204.75">
      <c r="A27" s="439">
        <v>3</v>
      </c>
      <c r="B27" s="440" t="s">
        <v>540</v>
      </c>
      <c r="C27" s="440" t="s">
        <v>540</v>
      </c>
      <c r="D27" s="440" t="s">
        <v>545</v>
      </c>
      <c r="E27" s="440" t="s">
        <v>546</v>
      </c>
      <c r="F27" s="441" t="s">
        <v>547</v>
      </c>
      <c r="G27" s="440" t="s">
        <v>545</v>
      </c>
      <c r="H27" s="440" t="s">
        <v>545</v>
      </c>
      <c r="I27" s="444" t="s">
        <v>522</v>
      </c>
      <c r="J27" s="442">
        <v>2022</v>
      </c>
      <c r="K27" s="442">
        <v>2022</v>
      </c>
      <c r="L27" s="442">
        <v>10</v>
      </c>
      <c r="M27" s="439">
        <v>10</v>
      </c>
      <c r="N27" s="443" t="s">
        <v>522</v>
      </c>
      <c r="O27" s="443" t="s">
        <v>522</v>
      </c>
      <c r="P27" s="445" t="s">
        <v>548</v>
      </c>
      <c r="Q27" s="443" t="s">
        <v>543</v>
      </c>
      <c r="R27" s="440" t="str">
        <f>'[60]1.Сетевой_объект'!$L$7</f>
        <v>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v>
      </c>
      <c r="S27" s="443" t="s">
        <v>518</v>
      </c>
      <c r="T27" s="443" t="s">
        <v>518</v>
      </c>
    </row>
    <row r="28" spans="1:20" ht="204.75">
      <c r="A28" s="439">
        <v>4</v>
      </c>
      <c r="B28" s="440" t="s">
        <v>515</v>
      </c>
      <c r="C28" s="440">
        <f t="shared" ref="C28:C31" si="0">$B$9</f>
        <v>0</v>
      </c>
      <c r="D28" s="440" t="s">
        <v>520</v>
      </c>
      <c r="E28" s="440" t="s">
        <v>521</v>
      </c>
      <c r="F28" s="441" t="s">
        <v>504</v>
      </c>
      <c r="G28" s="440" t="s">
        <v>523</v>
      </c>
      <c r="H28" s="440" t="s">
        <v>524</v>
      </c>
      <c r="I28" s="440">
        <v>1987</v>
      </c>
      <c r="J28" s="442">
        <v>2022</v>
      </c>
      <c r="K28" s="442">
        <v>2022</v>
      </c>
      <c r="L28" s="442">
        <v>110</v>
      </c>
      <c r="M28" s="439">
        <v>110</v>
      </c>
      <c r="N28" s="443" t="s">
        <v>522</v>
      </c>
      <c r="O28" s="440" t="s">
        <v>522</v>
      </c>
      <c r="P28" s="442">
        <v>2014</v>
      </c>
      <c r="Q28" s="443" t="s">
        <v>517</v>
      </c>
      <c r="R28" s="440" t="str">
        <f>'[61]1.Сетевой_объект'!$L$7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8" s="443" t="s">
        <v>518</v>
      </c>
      <c r="T28" s="443" t="s">
        <v>518</v>
      </c>
    </row>
    <row r="29" spans="1:20" s="51" customFormat="1" ht="204.75">
      <c r="A29" s="439">
        <v>5</v>
      </c>
      <c r="B29" s="440" t="s">
        <v>515</v>
      </c>
      <c r="C29" s="440">
        <f t="shared" si="0"/>
        <v>0</v>
      </c>
      <c r="D29" s="440" t="s">
        <v>520</v>
      </c>
      <c r="E29" s="440" t="s">
        <v>521</v>
      </c>
      <c r="F29" s="441" t="s">
        <v>504</v>
      </c>
      <c r="G29" s="440" t="s">
        <v>525</v>
      </c>
      <c r="H29" s="440" t="s">
        <v>526</v>
      </c>
      <c r="I29" s="440">
        <v>1987</v>
      </c>
      <c r="J29" s="442">
        <v>2022</v>
      </c>
      <c r="K29" s="442">
        <v>2022</v>
      </c>
      <c r="L29" s="442">
        <v>110</v>
      </c>
      <c r="M29" s="439">
        <v>110</v>
      </c>
      <c r="N29" s="443" t="s">
        <v>522</v>
      </c>
      <c r="O29" s="440" t="s">
        <v>522</v>
      </c>
      <c r="P29" s="442">
        <v>2014</v>
      </c>
      <c r="Q29" s="443" t="s">
        <v>517</v>
      </c>
      <c r="R29" s="440" t="str">
        <f>'[61]1.Сетевой_объект'!$L$7</f>
        <v>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(2021 год)</v>
      </c>
      <c r="S29" s="443" t="s">
        <v>518</v>
      </c>
      <c r="T29" s="443" t="s">
        <v>518</v>
      </c>
    </row>
    <row r="30" spans="1:20" ht="63">
      <c r="A30" s="439">
        <v>6</v>
      </c>
      <c r="B30" s="440" t="s">
        <v>515</v>
      </c>
      <c r="C30" s="440">
        <f t="shared" si="0"/>
        <v>0</v>
      </c>
      <c r="D30" s="440" t="s">
        <v>527</v>
      </c>
      <c r="E30" s="440"/>
      <c r="F30" s="441" t="s">
        <v>528</v>
      </c>
      <c r="G30" s="440" t="s">
        <v>522</v>
      </c>
      <c r="H30" s="440" t="s">
        <v>529</v>
      </c>
      <c r="I30" s="440" t="s">
        <v>522</v>
      </c>
      <c r="J30" s="442">
        <v>2022</v>
      </c>
      <c r="K30" s="442">
        <v>2022</v>
      </c>
      <c r="L30" s="442">
        <v>10</v>
      </c>
      <c r="M30" s="439">
        <v>10</v>
      </c>
      <c r="N30" s="443"/>
      <c r="O30" s="440"/>
      <c r="P30" s="442"/>
      <c r="Q30" s="443" t="s">
        <v>530</v>
      </c>
      <c r="R30" s="440" t="s">
        <v>530</v>
      </c>
      <c r="S30" s="443" t="s">
        <v>530</v>
      </c>
      <c r="T30" s="443" t="s">
        <v>530</v>
      </c>
    </row>
    <row r="31" spans="1:20" s="49" customFormat="1" ht="63">
      <c r="A31" s="439">
        <v>7</v>
      </c>
      <c r="B31" s="440" t="s">
        <v>515</v>
      </c>
      <c r="C31" s="440">
        <f t="shared" si="0"/>
        <v>0</v>
      </c>
      <c r="D31" s="440" t="s">
        <v>527</v>
      </c>
      <c r="E31" s="440"/>
      <c r="F31" s="441" t="s">
        <v>528</v>
      </c>
      <c r="G31" s="440" t="s">
        <v>522</v>
      </c>
      <c r="H31" s="440" t="s">
        <v>529</v>
      </c>
      <c r="I31" s="440" t="s">
        <v>522</v>
      </c>
      <c r="J31" s="442">
        <v>2022</v>
      </c>
      <c r="K31" s="442">
        <v>2022</v>
      </c>
      <c r="L31" s="442">
        <v>10</v>
      </c>
      <c r="M31" s="439">
        <v>10</v>
      </c>
      <c r="N31" s="443"/>
      <c r="O31" s="440"/>
      <c r="P31" s="442"/>
      <c r="Q31" s="443" t="s">
        <v>530</v>
      </c>
      <c r="R31" s="440" t="s">
        <v>530</v>
      </c>
      <c r="S31" s="443" t="s">
        <v>530</v>
      </c>
      <c r="T31" s="443" t="s">
        <v>530</v>
      </c>
    </row>
    <row r="32" spans="1:20" s="49" customFormat="1">
      <c r="B32" s="47"/>
      <c r="C32" s="47"/>
      <c r="D32" s="47"/>
      <c r="E32" s="47"/>
      <c r="F32" s="47"/>
      <c r="G32" s="47"/>
      <c r="H32" s="47"/>
      <c r="I32" s="47"/>
      <c r="J32" s="47"/>
      <c r="K32" s="47"/>
      <c r="L32" s="47"/>
      <c r="M32" s="47"/>
      <c r="N32" s="47"/>
      <c r="O32" s="47"/>
      <c r="P32" s="47"/>
      <c r="Q32" s="47"/>
      <c r="R32" s="47"/>
    </row>
    <row r="33" spans="2:113">
      <c r="B33" s="460"/>
      <c r="C33" s="460"/>
      <c r="D33" s="460"/>
      <c r="E33" s="460"/>
      <c r="F33" s="460"/>
      <c r="G33" s="460"/>
      <c r="H33" s="460"/>
      <c r="I33" s="460"/>
      <c r="J33" s="460"/>
      <c r="K33" s="460"/>
      <c r="L33" s="460"/>
      <c r="M33" s="460"/>
      <c r="N33" s="460"/>
      <c r="O33" s="460"/>
      <c r="P33" s="460"/>
      <c r="Q33" s="460"/>
      <c r="R33" s="460"/>
    </row>
    <row r="34" spans="2:113">
      <c r="B34" s="47"/>
      <c r="C34" s="47"/>
      <c r="D34" s="47"/>
      <c r="E34" s="47"/>
      <c r="F34" s="47"/>
      <c r="G34" s="47"/>
      <c r="H34" s="47"/>
      <c r="I34" s="47"/>
      <c r="J34" s="47"/>
      <c r="K34" s="47"/>
      <c r="L34" s="47"/>
      <c r="M34" s="47"/>
      <c r="N34" s="47"/>
      <c r="O34" s="47"/>
      <c r="P34" s="47"/>
      <c r="Q34" s="47"/>
      <c r="R34" s="47"/>
      <c r="S34" s="47"/>
      <c r="T34" s="47"/>
      <c r="U34" s="47"/>
      <c r="V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row>
    <row r="35" spans="2:113">
      <c r="B35" s="46"/>
      <c r="C35" s="46"/>
      <c r="D35" s="46"/>
      <c r="E35" s="46"/>
      <c r="F35" s="44"/>
      <c r="G35" s="44"/>
      <c r="H35" s="46"/>
      <c r="I35" s="46"/>
      <c r="J35" s="46"/>
      <c r="K35" s="46"/>
      <c r="L35" s="46"/>
      <c r="M35" s="46"/>
      <c r="N35" s="46"/>
      <c r="O35" s="46"/>
      <c r="P35" s="46"/>
      <c r="Q35" s="46"/>
      <c r="R35" s="46"/>
      <c r="S35" s="48"/>
      <c r="T35" s="48"/>
      <c r="U35" s="48"/>
      <c r="V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row>
    <row r="36" spans="2:113">
      <c r="B36" s="46"/>
      <c r="C36" s="46"/>
      <c r="D36" s="46"/>
      <c r="E36" s="46"/>
      <c r="F36" s="44"/>
      <c r="G36" s="44"/>
      <c r="H36" s="46"/>
      <c r="I36" s="46"/>
      <c r="J36" s="46"/>
      <c r="K36" s="46"/>
      <c r="L36" s="46"/>
      <c r="M36" s="46"/>
      <c r="N36" s="46"/>
      <c r="O36" s="46"/>
      <c r="P36" s="46"/>
      <c r="Q36" s="46"/>
      <c r="R36" s="46"/>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row>
    <row r="37" spans="2:113" s="44" customFormat="1">
      <c r="B37" s="46"/>
      <c r="C37" s="46"/>
      <c r="D37" s="46"/>
      <c r="E37" s="46"/>
      <c r="H37" s="46"/>
      <c r="I37" s="46"/>
      <c r="J37" s="46"/>
      <c r="K37" s="46"/>
      <c r="L37" s="46"/>
      <c r="M37" s="46"/>
      <c r="N37" s="46"/>
      <c r="O37" s="46"/>
      <c r="P37" s="46"/>
      <c r="Q37" s="46"/>
      <c r="R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row>
    <row r="38" spans="2:113" s="44" customFormat="1">
      <c r="B38" s="46"/>
      <c r="C38" s="46"/>
      <c r="D38" s="46"/>
      <c r="E38" s="46"/>
      <c r="H38" s="46"/>
      <c r="I38" s="46"/>
      <c r="J38" s="46"/>
      <c r="K38" s="46"/>
      <c r="L38" s="46"/>
      <c r="M38" s="46"/>
      <c r="N38" s="46"/>
      <c r="O38" s="46"/>
      <c r="P38" s="46"/>
      <c r="Q38" s="46"/>
      <c r="R38" s="46"/>
      <c r="S38" s="46"/>
      <c r="T38" s="46"/>
      <c r="U38" s="46"/>
      <c r="V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row>
    <row r="39" spans="2:113" s="44" customFormat="1">
      <c r="B39" s="46"/>
      <c r="C39" s="46"/>
      <c r="D39" s="46"/>
      <c r="E39" s="46"/>
      <c r="H39" s="46"/>
      <c r="I39" s="46"/>
      <c r="J39" s="46"/>
      <c r="K39" s="46"/>
      <c r="L39" s="46"/>
      <c r="M39" s="46"/>
      <c r="N39" s="46"/>
      <c r="O39" s="46"/>
      <c r="P39" s="46"/>
      <c r="Q39" s="46"/>
      <c r="R39" s="46"/>
      <c r="S39" s="46"/>
      <c r="T39" s="46"/>
      <c r="U39" s="46"/>
      <c r="V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row>
    <row r="40" spans="2:113" s="44" customFormat="1">
      <c r="B40" s="46"/>
      <c r="C40" s="46"/>
      <c r="D40" s="46"/>
      <c r="E40" s="46"/>
      <c r="H40" s="46"/>
      <c r="I40" s="46"/>
      <c r="J40" s="46"/>
      <c r="K40" s="46"/>
      <c r="L40" s="46"/>
      <c r="M40" s="46"/>
      <c r="N40" s="46"/>
      <c r="O40" s="46"/>
      <c r="P40" s="46"/>
      <c r="Q40" s="46"/>
      <c r="R40" s="46"/>
      <c r="S40" s="46"/>
      <c r="T40" s="46"/>
      <c r="U40" s="46"/>
      <c r="V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row>
    <row r="41" spans="2:113" s="44" customFormat="1">
      <c r="B41" s="46"/>
      <c r="C41" s="46"/>
      <c r="D41" s="46"/>
      <c r="E41" s="46"/>
      <c r="H41" s="46"/>
      <c r="I41" s="46"/>
      <c r="J41" s="46"/>
      <c r="K41" s="46"/>
      <c r="L41" s="46"/>
      <c r="M41" s="46"/>
      <c r="N41" s="46"/>
      <c r="O41" s="46"/>
      <c r="P41" s="46"/>
      <c r="Q41" s="46"/>
      <c r="R41" s="46"/>
      <c r="S41" s="46"/>
      <c r="T41" s="46"/>
      <c r="U41" s="46"/>
      <c r="V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row>
    <row r="42" spans="2:113" s="44" customFormat="1">
      <c r="B42" s="46"/>
      <c r="C42" s="46"/>
      <c r="D42" s="46"/>
      <c r="E42" s="46"/>
      <c r="H42" s="46"/>
      <c r="I42" s="46"/>
      <c r="J42" s="46"/>
      <c r="K42" s="46"/>
      <c r="L42" s="46"/>
      <c r="M42" s="46"/>
      <c r="N42" s="46"/>
      <c r="O42" s="46"/>
      <c r="P42" s="46"/>
      <c r="Q42" s="46"/>
      <c r="R42" s="46"/>
      <c r="S42" s="46"/>
      <c r="T42" s="46"/>
      <c r="U42" s="46"/>
      <c r="V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row>
    <row r="43" spans="2:113" s="44" customFormat="1">
      <c r="B43" s="46"/>
      <c r="C43" s="46"/>
      <c r="D43" s="46"/>
      <c r="E43" s="46"/>
      <c r="H43" s="46"/>
      <c r="I43" s="46"/>
      <c r="J43" s="46"/>
      <c r="K43" s="46"/>
      <c r="L43" s="46"/>
      <c r="M43" s="46"/>
      <c r="N43" s="46"/>
      <c r="O43" s="46"/>
      <c r="P43" s="46"/>
      <c r="Q43" s="46"/>
      <c r="R43" s="46"/>
      <c r="S43" s="46"/>
      <c r="T43" s="46"/>
      <c r="U43" s="46"/>
      <c r="V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row>
    <row r="44" spans="2:113" s="44" customFormat="1">
      <c r="B44" s="46"/>
      <c r="C44" s="46"/>
      <c r="D44" s="46"/>
      <c r="E44" s="46"/>
      <c r="H44" s="46"/>
      <c r="I44" s="46"/>
      <c r="J44" s="46"/>
      <c r="K44" s="46"/>
      <c r="L44" s="46"/>
      <c r="M44" s="46"/>
      <c r="N44" s="46"/>
      <c r="O44" s="46"/>
      <c r="P44" s="46"/>
      <c r="Q44" s="46"/>
      <c r="R44" s="46"/>
      <c r="S44" s="46"/>
      <c r="T44" s="46"/>
      <c r="U44" s="46"/>
      <c r="V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row>
    <row r="45" spans="2:113" s="44" customFormat="1">
      <c r="Q45" s="46"/>
      <c r="R45" s="46"/>
      <c r="S45" s="46"/>
      <c r="T45" s="46"/>
      <c r="U45" s="46"/>
      <c r="V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row>
    <row r="46" spans="2:113" s="44" customFormat="1">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row>
  </sheetData>
  <mergeCells count="27">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B33:R33"/>
    <mergeCell ref="L21:M22"/>
    <mergeCell ref="N21:O22"/>
    <mergeCell ref="P21:P22"/>
    <mergeCell ref="D21:D23"/>
    <mergeCell ref="B21:C22"/>
  </mergeCells>
  <pageMargins left="0.19685039370078741"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Z15" sqref="Z1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1" t="str">
        <f>'1. паспорт местоположение'!A5:C5</f>
        <v>Год раскрытия информации: 2020 год</v>
      </c>
      <c r="B5" s="471"/>
      <c r="C5" s="471"/>
      <c r="D5" s="471"/>
      <c r="E5" s="471"/>
      <c r="F5" s="471"/>
      <c r="G5" s="471"/>
      <c r="H5" s="471"/>
      <c r="I5" s="471"/>
      <c r="J5" s="471"/>
      <c r="K5" s="471"/>
      <c r="L5" s="471"/>
      <c r="M5" s="471"/>
      <c r="N5" s="471"/>
      <c r="O5" s="471"/>
      <c r="P5" s="471"/>
      <c r="Q5" s="471"/>
      <c r="R5" s="471"/>
      <c r="S5" s="471"/>
      <c r="T5" s="471"/>
      <c r="U5" s="471"/>
      <c r="V5" s="471"/>
      <c r="W5" s="471"/>
      <c r="X5" s="471"/>
      <c r="Y5" s="471"/>
      <c r="Z5" s="471"/>
      <c r="AA5" s="471"/>
    </row>
    <row r="6" spans="1:27" s="11" customFormat="1">
      <c r="A6" s="119"/>
      <c r="B6" s="119"/>
      <c r="C6" s="119"/>
      <c r="D6" s="119"/>
      <c r="E6" s="119"/>
      <c r="F6" s="119"/>
      <c r="G6" s="119"/>
      <c r="H6" s="119"/>
      <c r="I6" s="119"/>
      <c r="J6" s="119"/>
      <c r="K6" s="119"/>
      <c r="L6" s="119"/>
      <c r="M6" s="119"/>
      <c r="N6" s="119"/>
      <c r="O6" s="119"/>
      <c r="P6" s="119"/>
      <c r="Q6" s="119"/>
      <c r="R6" s="119"/>
      <c r="S6" s="119"/>
      <c r="T6" s="119"/>
    </row>
    <row r="7" spans="1:27" s="11" customFormat="1" ht="18.75">
      <c r="E7" s="453" t="s">
        <v>8</v>
      </c>
      <c r="F7" s="453"/>
      <c r="G7" s="453"/>
      <c r="H7" s="453"/>
      <c r="I7" s="453"/>
      <c r="J7" s="453"/>
      <c r="K7" s="453"/>
      <c r="L7" s="453"/>
      <c r="M7" s="453"/>
      <c r="N7" s="453"/>
      <c r="O7" s="453"/>
      <c r="P7" s="453"/>
      <c r="Q7" s="453"/>
      <c r="R7" s="453"/>
      <c r="S7" s="453"/>
      <c r="T7" s="453"/>
      <c r="U7" s="453"/>
      <c r="V7" s="453"/>
      <c r="W7" s="453"/>
      <c r="X7" s="453"/>
      <c r="Y7" s="453"/>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1" t="s">
        <v>507</v>
      </c>
      <c r="F9" s="471"/>
      <c r="G9" s="471"/>
      <c r="H9" s="471"/>
      <c r="I9" s="471"/>
      <c r="J9" s="471"/>
      <c r="K9" s="471"/>
      <c r="L9" s="471"/>
      <c r="M9" s="471"/>
      <c r="N9" s="471"/>
      <c r="O9" s="471"/>
      <c r="P9" s="471"/>
      <c r="Q9" s="471"/>
      <c r="R9" s="471"/>
      <c r="S9" s="471"/>
      <c r="T9" s="471"/>
      <c r="U9" s="471"/>
      <c r="V9" s="471"/>
      <c r="W9" s="471"/>
      <c r="X9" s="471"/>
      <c r="Y9" s="471"/>
    </row>
    <row r="10" spans="1:27" s="11" customFormat="1" ht="18.75" customHeight="1">
      <c r="E10" s="450" t="s">
        <v>7</v>
      </c>
      <c r="F10" s="450"/>
      <c r="G10" s="450"/>
      <c r="H10" s="450"/>
      <c r="I10" s="450"/>
      <c r="J10" s="450"/>
      <c r="K10" s="450"/>
      <c r="L10" s="450"/>
      <c r="M10" s="450"/>
      <c r="N10" s="450"/>
      <c r="O10" s="450"/>
      <c r="P10" s="450"/>
      <c r="Q10" s="450"/>
      <c r="R10" s="450"/>
      <c r="S10" s="450"/>
      <c r="T10" s="450"/>
      <c r="U10" s="450"/>
      <c r="V10" s="450"/>
      <c r="W10" s="450"/>
      <c r="X10" s="450"/>
      <c r="Y10" s="450"/>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2" t="s">
        <v>532</v>
      </c>
      <c r="F12" s="452"/>
      <c r="G12" s="452"/>
      <c r="H12" s="452"/>
      <c r="I12" s="452"/>
      <c r="J12" s="452"/>
      <c r="K12" s="452"/>
      <c r="L12" s="452"/>
      <c r="M12" s="452"/>
      <c r="N12" s="452"/>
      <c r="O12" s="452"/>
      <c r="P12" s="452"/>
      <c r="Q12" s="452"/>
      <c r="R12" s="452"/>
      <c r="S12" s="452"/>
      <c r="T12" s="452"/>
      <c r="U12" s="452"/>
      <c r="V12" s="452"/>
      <c r="W12" s="452"/>
      <c r="X12" s="452"/>
      <c r="Y12" s="452"/>
    </row>
    <row r="13" spans="1:27" s="11" customFormat="1" ht="18.75" customHeight="1">
      <c r="E13" s="450" t="s">
        <v>6</v>
      </c>
      <c r="F13" s="450"/>
      <c r="G13" s="450"/>
      <c r="H13" s="450"/>
      <c r="I13" s="450"/>
      <c r="J13" s="450"/>
      <c r="K13" s="450"/>
      <c r="L13" s="450"/>
      <c r="M13" s="450"/>
      <c r="N13" s="450"/>
      <c r="O13" s="450"/>
      <c r="P13" s="450"/>
      <c r="Q13" s="450"/>
      <c r="R13" s="450"/>
      <c r="S13" s="450"/>
      <c r="T13" s="450"/>
      <c r="U13" s="450"/>
      <c r="V13" s="450"/>
      <c r="W13" s="450"/>
      <c r="X13" s="450"/>
      <c r="Y13" s="450"/>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2" t="s">
        <v>533</v>
      </c>
      <c r="F15" s="452"/>
      <c r="G15" s="452"/>
      <c r="H15" s="452"/>
      <c r="I15" s="452"/>
      <c r="J15" s="452"/>
      <c r="K15" s="452"/>
      <c r="L15" s="452"/>
      <c r="M15" s="452"/>
      <c r="N15" s="452"/>
      <c r="O15" s="452"/>
      <c r="P15" s="452"/>
      <c r="Q15" s="452"/>
      <c r="R15" s="452"/>
      <c r="S15" s="452"/>
      <c r="T15" s="452"/>
      <c r="U15" s="452"/>
      <c r="V15" s="452"/>
      <c r="W15" s="452"/>
      <c r="X15" s="452"/>
      <c r="Y15" s="452"/>
    </row>
    <row r="16" spans="1:27" s="3" customFormat="1" ht="15" customHeight="1">
      <c r="E16" s="450" t="s">
        <v>5</v>
      </c>
      <c r="F16" s="450"/>
      <c r="G16" s="450"/>
      <c r="H16" s="450"/>
      <c r="I16" s="450"/>
      <c r="J16" s="450"/>
      <c r="K16" s="450"/>
      <c r="L16" s="450"/>
      <c r="M16" s="450"/>
      <c r="N16" s="450"/>
      <c r="O16" s="450"/>
      <c r="P16" s="450"/>
      <c r="Q16" s="450"/>
      <c r="R16" s="450"/>
      <c r="S16" s="450"/>
      <c r="T16" s="450"/>
      <c r="U16" s="450"/>
      <c r="V16" s="450"/>
      <c r="W16" s="450"/>
      <c r="X16" s="450"/>
      <c r="Y16" s="450"/>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2"/>
      <c r="F18" s="452"/>
      <c r="G18" s="452"/>
      <c r="H18" s="452"/>
      <c r="I18" s="452"/>
      <c r="J18" s="452"/>
      <c r="K18" s="452"/>
      <c r="L18" s="452"/>
      <c r="M18" s="452"/>
      <c r="N18" s="452"/>
      <c r="O18" s="452"/>
      <c r="P18" s="452"/>
      <c r="Q18" s="452"/>
      <c r="R18" s="452"/>
      <c r="S18" s="452"/>
      <c r="T18" s="452"/>
      <c r="U18" s="452"/>
      <c r="V18" s="452"/>
      <c r="W18" s="452"/>
      <c r="X18" s="452"/>
      <c r="Y18" s="452"/>
    </row>
    <row r="19" spans="1:27" ht="25.5" customHeight="1">
      <c r="A19" s="452" t="s">
        <v>394</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row>
    <row r="20" spans="1:27" s="51" customFormat="1" ht="21" customHeight="1"/>
    <row r="21" spans="1:27" ht="15.75" customHeight="1">
      <c r="A21" s="478" t="s">
        <v>4</v>
      </c>
      <c r="B21" s="481" t="s">
        <v>400</v>
      </c>
      <c r="C21" s="482"/>
      <c r="D21" s="481" t="s">
        <v>402</v>
      </c>
      <c r="E21" s="482"/>
      <c r="F21" s="485" t="s">
        <v>90</v>
      </c>
      <c r="G21" s="486"/>
      <c r="H21" s="486"/>
      <c r="I21" s="487"/>
      <c r="J21" s="478" t="s">
        <v>403</v>
      </c>
      <c r="K21" s="481" t="s">
        <v>404</v>
      </c>
      <c r="L21" s="482"/>
      <c r="M21" s="481" t="s">
        <v>405</v>
      </c>
      <c r="N21" s="482"/>
      <c r="O21" s="481" t="s">
        <v>393</v>
      </c>
      <c r="P21" s="482"/>
      <c r="Q21" s="481" t="s">
        <v>112</v>
      </c>
      <c r="R21" s="482"/>
      <c r="S21" s="478" t="s">
        <v>111</v>
      </c>
      <c r="T21" s="478" t="s">
        <v>406</v>
      </c>
      <c r="U21" s="478" t="s">
        <v>401</v>
      </c>
      <c r="V21" s="481" t="s">
        <v>110</v>
      </c>
      <c r="W21" s="482"/>
      <c r="X21" s="485" t="s">
        <v>102</v>
      </c>
      <c r="Y21" s="486"/>
      <c r="Z21" s="485" t="s">
        <v>101</v>
      </c>
      <c r="AA21" s="486"/>
    </row>
    <row r="22" spans="1:27" ht="216" customHeight="1">
      <c r="A22" s="479"/>
      <c r="B22" s="483"/>
      <c r="C22" s="484"/>
      <c r="D22" s="483"/>
      <c r="E22" s="484"/>
      <c r="F22" s="485" t="s">
        <v>109</v>
      </c>
      <c r="G22" s="487"/>
      <c r="H22" s="485" t="s">
        <v>108</v>
      </c>
      <c r="I22" s="487"/>
      <c r="J22" s="480"/>
      <c r="K22" s="483"/>
      <c r="L22" s="484"/>
      <c r="M22" s="483"/>
      <c r="N22" s="484"/>
      <c r="O22" s="483"/>
      <c r="P22" s="484"/>
      <c r="Q22" s="483"/>
      <c r="R22" s="484"/>
      <c r="S22" s="480"/>
      <c r="T22" s="480"/>
      <c r="U22" s="480"/>
      <c r="V22" s="483"/>
      <c r="W22" s="484"/>
      <c r="X22" s="128" t="s">
        <v>100</v>
      </c>
      <c r="Y22" s="128" t="s">
        <v>391</v>
      </c>
      <c r="Z22" s="128" t="s">
        <v>99</v>
      </c>
      <c r="AA22" s="128" t="s">
        <v>98</v>
      </c>
    </row>
    <row r="23" spans="1:27" ht="60" customHeight="1">
      <c r="A23" s="480"/>
      <c r="B23" s="129" t="s">
        <v>96</v>
      </c>
      <c r="C23" s="129" t="s">
        <v>97</v>
      </c>
      <c r="D23" s="129" t="s">
        <v>96</v>
      </c>
      <c r="E23" s="129" t="s">
        <v>97</v>
      </c>
      <c r="F23" s="129" t="s">
        <v>96</v>
      </c>
      <c r="G23" s="129" t="s">
        <v>97</v>
      </c>
      <c r="H23" s="129" t="s">
        <v>96</v>
      </c>
      <c r="I23" s="129" t="s">
        <v>97</v>
      </c>
      <c r="J23" s="129" t="s">
        <v>96</v>
      </c>
      <c r="K23" s="129" t="s">
        <v>96</v>
      </c>
      <c r="L23" s="129" t="s">
        <v>97</v>
      </c>
      <c r="M23" s="129" t="s">
        <v>96</v>
      </c>
      <c r="N23" s="129" t="s">
        <v>97</v>
      </c>
      <c r="O23" s="129" t="s">
        <v>96</v>
      </c>
      <c r="P23" s="129" t="s">
        <v>97</v>
      </c>
      <c r="Q23" s="129" t="s">
        <v>96</v>
      </c>
      <c r="R23" s="129" t="s">
        <v>97</v>
      </c>
      <c r="S23" s="129" t="s">
        <v>96</v>
      </c>
      <c r="T23" s="129" t="s">
        <v>96</v>
      </c>
      <c r="U23" s="129" t="s">
        <v>96</v>
      </c>
      <c r="V23" s="129" t="s">
        <v>96</v>
      </c>
      <c r="W23" s="129" t="s">
        <v>97</v>
      </c>
      <c r="X23" s="129" t="s">
        <v>96</v>
      </c>
      <c r="Y23" s="129" t="s">
        <v>96</v>
      </c>
      <c r="Z23" s="128" t="s">
        <v>96</v>
      </c>
      <c r="AA23" s="128" t="s">
        <v>96</v>
      </c>
    </row>
    <row r="24" spans="1:27">
      <c r="A24" s="89">
        <v>1</v>
      </c>
      <c r="B24" s="89">
        <v>2</v>
      </c>
      <c r="C24" s="89">
        <v>3</v>
      </c>
      <c r="D24" s="89">
        <v>4</v>
      </c>
      <c r="E24" s="89">
        <v>5</v>
      </c>
      <c r="F24" s="89">
        <v>6</v>
      </c>
      <c r="G24" s="89">
        <v>7</v>
      </c>
      <c r="H24" s="89">
        <v>8</v>
      </c>
      <c r="I24" s="89">
        <v>9</v>
      </c>
      <c r="J24" s="89">
        <v>10</v>
      </c>
      <c r="K24" s="89">
        <v>11</v>
      </c>
      <c r="L24" s="89">
        <v>12</v>
      </c>
      <c r="M24" s="89">
        <v>13</v>
      </c>
      <c r="N24" s="89">
        <v>14</v>
      </c>
      <c r="O24" s="89">
        <v>15</v>
      </c>
      <c r="P24" s="89">
        <v>16</v>
      </c>
      <c r="Q24" s="89">
        <v>19</v>
      </c>
      <c r="R24" s="89">
        <v>20</v>
      </c>
      <c r="S24" s="89">
        <v>21</v>
      </c>
      <c r="T24" s="89">
        <v>22</v>
      </c>
      <c r="U24" s="89">
        <v>23</v>
      </c>
      <c r="V24" s="89">
        <v>24</v>
      </c>
      <c r="W24" s="89">
        <v>25</v>
      </c>
      <c r="X24" s="89">
        <v>26</v>
      </c>
      <c r="Y24" s="89">
        <v>27</v>
      </c>
      <c r="Z24" s="89">
        <v>28</v>
      </c>
      <c r="AA24" s="89">
        <v>29</v>
      </c>
    </row>
    <row r="25" spans="1:27" s="51" customFormat="1" ht="121.5" customHeight="1">
      <c r="A25" s="87" t="s">
        <v>459</v>
      </c>
      <c r="B25" s="87" t="s">
        <v>459</v>
      </c>
      <c r="C25" s="87" t="s">
        <v>459</v>
      </c>
      <c r="D25" s="87" t="s">
        <v>459</v>
      </c>
      <c r="E25" s="87" t="s">
        <v>459</v>
      </c>
      <c r="F25" s="87" t="s">
        <v>459</v>
      </c>
      <c r="G25" s="87" t="s">
        <v>459</v>
      </c>
      <c r="H25" s="87" t="s">
        <v>459</v>
      </c>
      <c r="I25" s="87" t="s">
        <v>459</v>
      </c>
      <c r="J25" s="87" t="s">
        <v>459</v>
      </c>
      <c r="K25" s="87" t="s">
        <v>459</v>
      </c>
      <c r="L25" s="87" t="s">
        <v>459</v>
      </c>
      <c r="M25" s="87" t="s">
        <v>459</v>
      </c>
      <c r="N25" s="87" t="s">
        <v>459</v>
      </c>
      <c r="O25" s="87" t="s">
        <v>459</v>
      </c>
      <c r="P25" s="87" t="s">
        <v>459</v>
      </c>
      <c r="Q25" s="87" t="s">
        <v>459</v>
      </c>
      <c r="R25" s="87" t="s">
        <v>459</v>
      </c>
      <c r="S25" s="90" t="s">
        <v>459</v>
      </c>
      <c r="T25" s="90" t="s">
        <v>459</v>
      </c>
      <c r="U25" s="90" t="s">
        <v>459</v>
      </c>
      <c r="V25" s="179" t="s">
        <v>459</v>
      </c>
      <c r="W25" s="179" t="s">
        <v>459</v>
      </c>
      <c r="X25" s="87" t="s">
        <v>459</v>
      </c>
      <c r="Y25" s="87" t="s">
        <v>459</v>
      </c>
      <c r="Z25" s="87" t="s">
        <v>459</v>
      </c>
      <c r="AA25" s="87" t="s">
        <v>459</v>
      </c>
    </row>
    <row r="26" spans="1:27" s="49" customFormat="1" ht="12.75">
      <c r="A26" s="50"/>
      <c r="B26" s="50"/>
      <c r="C26" s="50"/>
      <c r="E26" s="50"/>
      <c r="X26" s="88"/>
      <c r="Y26" s="88"/>
      <c r="Z26" s="88"/>
      <c r="AA26" s="88"/>
    </row>
    <row r="27" spans="1:27" s="49" customFormat="1" ht="12.75">
      <c r="A27" s="50"/>
      <c r="B27" s="50"/>
      <c r="C27" s="50"/>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7" zoomScale="85" zoomScaleSheetLayoutView="85" workbookViewId="0">
      <selection activeCell="C28" sqref="C28"/>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9" t="str">
        <f>'1. паспорт местоположение'!A5:C5</f>
        <v>Год раскрытия информации: 2020 год</v>
      </c>
      <c r="B5" s="449"/>
      <c r="C5" s="449"/>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row>
    <row r="6" spans="1:29" s="11" customFormat="1" ht="18.75">
      <c r="A6" s="16"/>
      <c r="E6" s="15"/>
      <c r="F6" s="15"/>
      <c r="G6" s="14"/>
    </row>
    <row r="7" spans="1:29" s="11" customFormat="1" ht="18.75">
      <c r="A7" s="453" t="s">
        <v>8</v>
      </c>
      <c r="B7" s="453"/>
      <c r="C7" s="453"/>
      <c r="D7" s="12"/>
      <c r="E7" s="12"/>
      <c r="F7" s="12"/>
      <c r="G7" s="12"/>
      <c r="H7" s="12"/>
      <c r="I7" s="12"/>
      <c r="J7" s="12"/>
      <c r="K7" s="12"/>
      <c r="L7" s="12"/>
      <c r="M7" s="12"/>
      <c r="N7" s="12"/>
      <c r="O7" s="12"/>
      <c r="P7" s="12"/>
      <c r="Q7" s="12"/>
      <c r="R7" s="12"/>
      <c r="S7" s="12"/>
      <c r="T7" s="12"/>
      <c r="U7" s="12"/>
    </row>
    <row r="8" spans="1:29" s="11" customFormat="1" ht="18.75">
      <c r="A8" s="453"/>
      <c r="B8" s="453"/>
      <c r="C8" s="453"/>
      <c r="D8" s="13"/>
      <c r="E8" s="13"/>
      <c r="F8" s="13"/>
      <c r="G8" s="13"/>
      <c r="H8" s="12"/>
      <c r="I8" s="12"/>
      <c r="J8" s="12"/>
      <c r="K8" s="12"/>
      <c r="L8" s="12"/>
      <c r="M8" s="12"/>
      <c r="N8" s="12"/>
      <c r="O8" s="12"/>
      <c r="P8" s="12"/>
      <c r="Q8" s="12"/>
      <c r="R8" s="12"/>
      <c r="S8" s="12"/>
      <c r="T8" s="12"/>
      <c r="U8" s="12"/>
    </row>
    <row r="9" spans="1:29" s="11" customFormat="1" ht="18.75">
      <c r="A9" s="452" t="str">
        <f>'1. паспорт местоположение'!A9:C9</f>
        <v>АО "Крымэнерго"</v>
      </c>
      <c r="B9" s="452"/>
      <c r="C9" s="452"/>
      <c r="D9" s="7"/>
      <c r="E9" s="7"/>
      <c r="F9" s="7"/>
      <c r="G9" s="7"/>
      <c r="H9" s="12"/>
      <c r="I9" s="12"/>
      <c r="J9" s="12"/>
      <c r="K9" s="12"/>
      <c r="L9" s="12"/>
      <c r="M9" s="12"/>
      <c r="N9" s="12"/>
      <c r="O9" s="12"/>
      <c r="P9" s="12"/>
      <c r="Q9" s="12"/>
      <c r="R9" s="12"/>
      <c r="S9" s="12"/>
      <c r="T9" s="12"/>
      <c r="U9" s="12"/>
    </row>
    <row r="10" spans="1:29" s="11" customFormat="1" ht="18.75">
      <c r="A10" s="450" t="s">
        <v>7</v>
      </c>
      <c r="B10" s="450"/>
      <c r="C10" s="450"/>
      <c r="D10" s="5"/>
      <c r="E10" s="5"/>
      <c r="F10" s="5"/>
      <c r="G10" s="5"/>
      <c r="H10" s="12"/>
      <c r="I10" s="12"/>
      <c r="J10" s="12"/>
      <c r="K10" s="12"/>
      <c r="L10" s="12"/>
      <c r="M10" s="12"/>
      <c r="N10" s="12"/>
      <c r="O10" s="12"/>
      <c r="P10" s="12"/>
      <c r="Q10" s="12"/>
      <c r="R10" s="12"/>
      <c r="S10" s="12"/>
      <c r="T10" s="12"/>
      <c r="U10" s="12"/>
    </row>
    <row r="11" spans="1:29" s="11" customFormat="1" ht="18.75">
      <c r="A11" s="453"/>
      <c r="B11" s="453"/>
      <c r="C11" s="453"/>
      <c r="D11" s="13"/>
      <c r="E11" s="13"/>
      <c r="F11" s="13"/>
      <c r="G11" s="13"/>
      <c r="H11" s="12"/>
      <c r="I11" s="12"/>
      <c r="J11" s="12"/>
      <c r="K11" s="12"/>
      <c r="L11" s="12"/>
      <c r="M11" s="12"/>
      <c r="N11" s="12"/>
      <c r="O11" s="12"/>
      <c r="P11" s="12"/>
      <c r="Q11" s="12"/>
      <c r="R11" s="12"/>
      <c r="S11" s="12"/>
      <c r="T11" s="12"/>
      <c r="U11" s="12"/>
    </row>
    <row r="12" spans="1:29" s="11" customFormat="1" ht="18.75">
      <c r="A12" s="452" t="str">
        <f>'1. паспорт местоположение'!A12:C12</f>
        <v>K_1101004</v>
      </c>
      <c r="B12" s="452"/>
      <c r="C12" s="452"/>
      <c r="D12" s="7"/>
      <c r="E12" s="7"/>
      <c r="F12" s="7"/>
      <c r="G12" s="7"/>
      <c r="H12" s="12"/>
      <c r="I12" s="12"/>
      <c r="J12" s="12"/>
      <c r="K12" s="12"/>
      <c r="L12" s="12"/>
      <c r="M12" s="12"/>
      <c r="N12" s="12"/>
      <c r="O12" s="12"/>
      <c r="P12" s="12"/>
      <c r="Q12" s="12"/>
      <c r="R12" s="12"/>
      <c r="S12" s="12"/>
      <c r="T12" s="12"/>
      <c r="U12" s="12"/>
    </row>
    <row r="13" spans="1:29" s="11" customFormat="1" ht="18.75">
      <c r="A13" s="450" t="s">
        <v>6</v>
      </c>
      <c r="B13" s="450"/>
      <c r="C13" s="450"/>
      <c r="D13" s="5"/>
      <c r="E13" s="5"/>
      <c r="F13" s="5"/>
      <c r="G13" s="5"/>
      <c r="H13" s="12"/>
      <c r="I13" s="12"/>
      <c r="J13" s="12"/>
      <c r="K13" s="12"/>
      <c r="L13" s="12"/>
      <c r="M13" s="12"/>
      <c r="N13" s="12"/>
      <c r="O13" s="12"/>
      <c r="P13" s="12"/>
      <c r="Q13" s="12"/>
      <c r="R13" s="12"/>
      <c r="S13" s="12"/>
      <c r="T13" s="12"/>
      <c r="U13" s="12"/>
    </row>
    <row r="14" spans="1:29" s="8" customFormat="1" ht="15.75" customHeight="1">
      <c r="A14" s="457"/>
      <c r="B14" s="457"/>
      <c r="C14" s="457"/>
      <c r="D14" s="9"/>
      <c r="E14" s="9"/>
      <c r="F14" s="9"/>
      <c r="G14" s="9"/>
      <c r="H14" s="9"/>
      <c r="I14" s="9"/>
      <c r="J14" s="9"/>
      <c r="K14" s="9"/>
      <c r="L14" s="9"/>
      <c r="M14" s="9"/>
      <c r="N14" s="9"/>
      <c r="O14" s="9"/>
      <c r="P14" s="9"/>
      <c r="Q14" s="9"/>
      <c r="R14" s="9"/>
      <c r="S14" s="9"/>
      <c r="T14" s="9"/>
      <c r="U14" s="9"/>
    </row>
    <row r="15" spans="1:29" s="3" customFormat="1" ht="47.25" customHeight="1">
      <c r="A15" s="451" t="str">
        <f>'1. паспорт местоположение'!A15:C15</f>
        <v>Реконструкция ПС 110 кВ "Артек" с заменой силовых трансформаторов  и расширением РУ 10 кВ  на 4 линейных ячеек.</v>
      </c>
      <c r="B15" s="451"/>
      <c r="C15" s="451"/>
      <c r="D15" s="7"/>
      <c r="E15" s="7"/>
      <c r="F15" s="7"/>
      <c r="G15" s="7"/>
      <c r="H15" s="7"/>
      <c r="I15" s="7"/>
      <c r="J15" s="7"/>
      <c r="K15" s="7"/>
      <c r="L15" s="7"/>
      <c r="M15" s="7"/>
      <c r="N15" s="7"/>
      <c r="O15" s="7"/>
      <c r="P15" s="7"/>
      <c r="Q15" s="7"/>
      <c r="R15" s="7"/>
      <c r="S15" s="7"/>
      <c r="T15" s="7"/>
      <c r="U15" s="7"/>
    </row>
    <row r="16" spans="1:29" s="3" customFormat="1" ht="15" customHeight="1">
      <c r="A16" s="450" t="s">
        <v>5</v>
      </c>
      <c r="B16" s="450"/>
      <c r="C16" s="450"/>
      <c r="D16" s="5"/>
      <c r="E16" s="5"/>
      <c r="F16" s="5"/>
      <c r="G16" s="5"/>
      <c r="H16" s="5"/>
      <c r="I16" s="5"/>
      <c r="J16" s="5"/>
      <c r="K16" s="5"/>
      <c r="L16" s="5"/>
      <c r="M16" s="5"/>
      <c r="N16" s="5"/>
      <c r="O16" s="5"/>
      <c r="P16" s="5"/>
      <c r="Q16" s="5"/>
      <c r="R16" s="5"/>
      <c r="S16" s="5"/>
      <c r="T16" s="5"/>
      <c r="U16" s="5"/>
    </row>
    <row r="17" spans="1:21" s="3" customFormat="1" ht="15" customHeight="1">
      <c r="A17" s="458"/>
      <c r="B17" s="458"/>
      <c r="C17" s="458"/>
      <c r="D17" s="4"/>
      <c r="E17" s="4"/>
      <c r="F17" s="4"/>
      <c r="G17" s="4"/>
      <c r="H17" s="4"/>
      <c r="I17" s="4"/>
      <c r="J17" s="4"/>
      <c r="K17" s="4"/>
      <c r="L17" s="4"/>
      <c r="M17" s="4"/>
      <c r="N17" s="4"/>
      <c r="O17" s="4"/>
      <c r="P17" s="4"/>
      <c r="Q17" s="4"/>
      <c r="R17" s="4"/>
    </row>
    <row r="18" spans="1:21" s="3" customFormat="1" ht="27.75" customHeight="1">
      <c r="A18" s="451" t="s">
        <v>387</v>
      </c>
      <c r="B18" s="451"/>
      <c r="C18" s="451"/>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v>3</v>
      </c>
      <c r="D21" s="26"/>
      <c r="E21" s="26"/>
      <c r="F21" s="26"/>
      <c r="G21" s="26"/>
      <c r="H21" s="25"/>
      <c r="I21" s="25"/>
      <c r="J21" s="25"/>
      <c r="K21" s="25"/>
      <c r="L21" s="25"/>
      <c r="M21" s="25"/>
      <c r="N21" s="25"/>
      <c r="O21" s="25"/>
      <c r="P21" s="25"/>
      <c r="Q21" s="25"/>
      <c r="R21" s="25"/>
      <c r="S21" s="24"/>
      <c r="T21" s="24"/>
      <c r="U21" s="24"/>
    </row>
    <row r="22" spans="1:21" s="3" customFormat="1" ht="50.25" customHeight="1">
      <c r="A22" s="22" t="s">
        <v>64</v>
      </c>
      <c r="B22" s="130" t="s">
        <v>398</v>
      </c>
      <c r="C22" s="131" t="s">
        <v>549</v>
      </c>
      <c r="D22" s="26"/>
      <c r="E22" s="26"/>
      <c r="F22" s="25"/>
      <c r="G22" s="25"/>
      <c r="H22" s="25"/>
      <c r="I22" s="25"/>
      <c r="J22" s="25"/>
      <c r="K22" s="25"/>
      <c r="L22" s="25"/>
      <c r="M22" s="25"/>
      <c r="N22" s="25"/>
      <c r="O22" s="25"/>
      <c r="P22" s="25"/>
      <c r="Q22" s="24"/>
      <c r="R22" s="24"/>
      <c r="S22" s="24"/>
      <c r="T22" s="24"/>
      <c r="U22" s="24"/>
    </row>
    <row r="23" spans="1:21" ht="82.5" customHeight="1">
      <c r="A23" s="22" t="s">
        <v>62</v>
      </c>
      <c r="B23" s="132" t="s">
        <v>59</v>
      </c>
      <c r="C23" s="181" t="s">
        <v>550</v>
      </c>
      <c r="D23" s="21"/>
      <c r="E23" s="21"/>
      <c r="F23" s="21"/>
      <c r="G23" s="21"/>
      <c r="H23" s="21"/>
      <c r="I23" s="21"/>
      <c r="J23" s="21"/>
      <c r="K23" s="21"/>
      <c r="L23" s="21"/>
      <c r="M23" s="21"/>
      <c r="N23" s="21"/>
      <c r="O23" s="21"/>
      <c r="P23" s="21"/>
      <c r="Q23" s="21"/>
      <c r="R23" s="21"/>
      <c r="S23" s="21"/>
      <c r="T23" s="21"/>
      <c r="U23" s="21"/>
    </row>
    <row r="24" spans="1:21" ht="63" customHeight="1">
      <c r="A24" s="22" t="s">
        <v>61</v>
      </c>
      <c r="B24" s="132" t="s">
        <v>418</v>
      </c>
      <c r="C24" s="23" t="s">
        <v>459</v>
      </c>
      <c r="D24" s="21"/>
      <c r="E24" s="21"/>
      <c r="F24" s="21"/>
      <c r="G24" s="21"/>
      <c r="H24" s="21"/>
      <c r="I24" s="21"/>
      <c r="J24" s="21"/>
      <c r="K24" s="21"/>
      <c r="L24" s="21"/>
      <c r="M24" s="21"/>
      <c r="N24" s="21"/>
      <c r="O24" s="21"/>
      <c r="P24" s="21"/>
      <c r="Q24" s="21"/>
      <c r="R24" s="21"/>
      <c r="S24" s="21"/>
      <c r="T24" s="21"/>
      <c r="U24" s="21"/>
    </row>
    <row r="25" spans="1:21" ht="63" customHeight="1">
      <c r="A25" s="22" t="s">
        <v>60</v>
      </c>
      <c r="B25" s="132" t="s">
        <v>419</v>
      </c>
      <c r="C25" s="23" t="s">
        <v>459</v>
      </c>
      <c r="D25" s="21"/>
      <c r="E25" s="21"/>
      <c r="F25" s="21"/>
      <c r="G25" s="21"/>
      <c r="H25" s="21"/>
      <c r="I25" s="21"/>
      <c r="J25" s="21"/>
      <c r="K25" s="21"/>
      <c r="L25" s="21"/>
      <c r="M25" s="21"/>
      <c r="N25" s="21"/>
      <c r="O25" s="21"/>
      <c r="P25" s="21"/>
      <c r="Q25" s="21"/>
      <c r="R25" s="21"/>
      <c r="S25" s="21"/>
      <c r="T25" s="21"/>
      <c r="U25" s="21"/>
    </row>
    <row r="26" spans="1:21" ht="42.75" customHeight="1">
      <c r="A26" s="22" t="s">
        <v>58</v>
      </c>
      <c r="B26" s="132" t="s">
        <v>218</v>
      </c>
      <c r="C26" s="23" t="s">
        <v>531</v>
      </c>
      <c r="D26" s="21"/>
      <c r="E26" s="21"/>
      <c r="F26" s="21"/>
      <c r="G26" s="21"/>
      <c r="H26" s="21"/>
      <c r="I26" s="21"/>
      <c r="J26" s="21"/>
      <c r="K26" s="21"/>
      <c r="L26" s="21"/>
      <c r="M26" s="21"/>
      <c r="N26" s="21"/>
      <c r="O26" s="21"/>
      <c r="P26" s="21"/>
      <c r="Q26" s="21"/>
      <c r="R26" s="21"/>
      <c r="S26" s="21"/>
      <c r="T26" s="21"/>
      <c r="U26" s="21"/>
    </row>
    <row r="27" spans="1:21" ht="42.75" customHeight="1">
      <c r="A27" s="22" t="s">
        <v>57</v>
      </c>
      <c r="B27" s="132" t="s">
        <v>399</v>
      </c>
      <c r="C27" s="23" t="s">
        <v>551</v>
      </c>
      <c r="D27" s="21"/>
      <c r="E27" s="21"/>
      <c r="F27" s="21"/>
      <c r="G27" s="21"/>
      <c r="H27" s="21"/>
      <c r="I27" s="21"/>
      <c r="J27" s="21"/>
      <c r="K27" s="21"/>
      <c r="L27" s="21"/>
      <c r="M27" s="21"/>
      <c r="N27" s="21"/>
      <c r="O27" s="21"/>
      <c r="P27" s="21"/>
      <c r="Q27" s="21"/>
      <c r="R27" s="21"/>
      <c r="S27" s="21"/>
      <c r="T27" s="21"/>
      <c r="U27" s="21"/>
    </row>
    <row r="28" spans="1:21" ht="42.75" customHeight="1">
      <c r="A28" s="22" t="s">
        <v>55</v>
      </c>
      <c r="B28" s="132" t="s">
        <v>56</v>
      </c>
      <c r="C28" s="133" t="s">
        <v>442</v>
      </c>
      <c r="D28" s="21"/>
      <c r="E28" s="21"/>
      <c r="F28" s="21"/>
      <c r="G28" s="21"/>
      <c r="H28" s="21"/>
      <c r="I28" s="21"/>
      <c r="J28" s="21"/>
      <c r="K28" s="21"/>
      <c r="L28" s="21"/>
      <c r="M28" s="21"/>
      <c r="N28" s="21"/>
      <c r="O28" s="21"/>
      <c r="P28" s="21"/>
      <c r="Q28" s="21"/>
      <c r="R28" s="21"/>
      <c r="S28" s="21"/>
      <c r="T28" s="21"/>
      <c r="U28" s="21"/>
    </row>
    <row r="29" spans="1:21" ht="42.75" customHeight="1">
      <c r="A29" s="22" t="s">
        <v>53</v>
      </c>
      <c r="B29" s="133" t="s">
        <v>54</v>
      </c>
      <c r="C29" s="133" t="s">
        <v>452</v>
      </c>
      <c r="D29" s="21"/>
      <c r="E29" s="21"/>
      <c r="F29" s="21"/>
      <c r="G29" s="21"/>
      <c r="H29" s="21"/>
      <c r="I29" s="21"/>
      <c r="J29" s="21"/>
      <c r="K29" s="21"/>
      <c r="L29" s="21"/>
      <c r="M29" s="21"/>
      <c r="N29" s="21"/>
      <c r="O29" s="21"/>
      <c r="P29" s="21"/>
      <c r="Q29" s="21"/>
      <c r="R29" s="21"/>
      <c r="S29" s="21"/>
      <c r="T29" s="21"/>
      <c r="U29" s="21"/>
    </row>
    <row r="30" spans="1:21" ht="42.75" customHeight="1">
      <c r="A30" s="22" t="s">
        <v>72</v>
      </c>
      <c r="B30" s="133" t="s">
        <v>52</v>
      </c>
      <c r="C30" s="133" t="s">
        <v>458</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49" t="str">
        <f>'1. паспорт местоположение'!A5:C5</f>
        <v>Год раскрытия информации: 2020 год</v>
      </c>
      <c r="B4" s="449"/>
      <c r="C4" s="449"/>
      <c r="D4" s="449"/>
      <c r="E4" s="449"/>
      <c r="F4" s="449"/>
      <c r="G4" s="449"/>
      <c r="H4" s="449"/>
      <c r="I4" s="449"/>
      <c r="J4" s="449"/>
      <c r="K4" s="449"/>
      <c r="L4" s="449"/>
      <c r="M4" s="449"/>
      <c r="N4" s="449"/>
      <c r="O4" s="449"/>
      <c r="P4" s="449"/>
      <c r="Q4" s="449"/>
      <c r="R4" s="449"/>
      <c r="S4" s="449"/>
      <c r="T4" s="449"/>
      <c r="U4" s="449"/>
      <c r="V4" s="449"/>
      <c r="W4" s="449"/>
      <c r="X4" s="449"/>
      <c r="Y4" s="449"/>
      <c r="Z4" s="449"/>
    </row>
    <row r="6" spans="1:28" ht="18.75">
      <c r="A6" s="453" t="s">
        <v>8</v>
      </c>
      <c r="B6" s="453"/>
      <c r="C6" s="453"/>
      <c r="D6" s="453"/>
      <c r="E6" s="453"/>
      <c r="F6" s="453"/>
      <c r="G6" s="453"/>
      <c r="H6" s="453"/>
      <c r="I6" s="453"/>
      <c r="J6" s="453"/>
      <c r="K6" s="453"/>
      <c r="L6" s="453"/>
      <c r="M6" s="453"/>
      <c r="N6" s="453"/>
      <c r="O6" s="453"/>
      <c r="P6" s="453"/>
      <c r="Q6" s="453"/>
      <c r="R6" s="453"/>
      <c r="S6" s="453"/>
      <c r="T6" s="453"/>
      <c r="U6" s="453"/>
      <c r="V6" s="453"/>
      <c r="W6" s="453"/>
      <c r="X6" s="453"/>
      <c r="Y6" s="453"/>
      <c r="Z6" s="453"/>
      <c r="AA6" s="112"/>
      <c r="AB6" s="112"/>
    </row>
    <row r="7" spans="1:28" ht="18.75">
      <c r="A7" s="453"/>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112"/>
      <c r="AB7" s="112"/>
    </row>
    <row r="8" spans="1:28" ht="20.25">
      <c r="A8" s="475" t="str">
        <f>'1. паспорт местоположение'!A9:C9</f>
        <v>АО "Крымэнерго"</v>
      </c>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113"/>
      <c r="AB8" s="113"/>
    </row>
    <row r="9" spans="1:28" ht="15.75">
      <c r="A9" s="450" t="s">
        <v>7</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114"/>
      <c r="AB9" s="114"/>
    </row>
    <row r="10" spans="1:28" ht="18.75">
      <c r="A10" s="453"/>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112"/>
      <c r="AB10" s="112"/>
    </row>
    <row r="11" spans="1:28" ht="20.25">
      <c r="A11" s="475" t="str">
        <f>'1. паспорт местоположение'!A12:C12</f>
        <v>K_1101004</v>
      </c>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113"/>
      <c r="AB11" s="113"/>
    </row>
    <row r="12" spans="1:28" ht="15.75">
      <c r="A12" s="450" t="s">
        <v>6</v>
      </c>
      <c r="B12" s="450"/>
      <c r="C12" s="450"/>
      <c r="D12" s="450"/>
      <c r="E12" s="450"/>
      <c r="F12" s="450"/>
      <c r="G12" s="450"/>
      <c r="H12" s="450"/>
      <c r="I12" s="450"/>
      <c r="J12" s="450"/>
      <c r="K12" s="450"/>
      <c r="L12" s="450"/>
      <c r="M12" s="450"/>
      <c r="N12" s="450"/>
      <c r="O12" s="450"/>
      <c r="P12" s="450"/>
      <c r="Q12" s="450"/>
      <c r="R12" s="450"/>
      <c r="S12" s="450"/>
      <c r="T12" s="450"/>
      <c r="U12" s="450"/>
      <c r="V12" s="450"/>
      <c r="W12" s="450"/>
      <c r="X12" s="450"/>
      <c r="Y12" s="450"/>
      <c r="Z12" s="450"/>
      <c r="AA12" s="114"/>
      <c r="AB12" s="114"/>
    </row>
    <row r="13" spans="1:28" ht="18.75">
      <c r="A13" s="457"/>
      <c r="B13" s="45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10"/>
      <c r="AB13" s="10"/>
    </row>
    <row r="14" spans="1:28" ht="18.75">
      <c r="A14" s="489" t="str">
        <f>'1. паспорт местоположение'!A15:C15</f>
        <v>Реконструкция ПС 110 кВ "Артек" с заменой силовых трансформаторов  и расширением РУ 10 кВ  на 4 линейных ячеек.</v>
      </c>
      <c r="B14" s="452"/>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113"/>
      <c r="AB14" s="113"/>
    </row>
    <row r="15" spans="1:28" ht="15.75">
      <c r="A15" s="450" t="s">
        <v>5</v>
      </c>
      <c r="B15" s="450"/>
      <c r="C15" s="450"/>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114"/>
      <c r="AB15" s="114"/>
    </row>
    <row r="16" spans="1:28">
      <c r="A16" s="488"/>
      <c r="B16" s="488"/>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488"/>
      <c r="AA16" s="121"/>
      <c r="AB16" s="121"/>
    </row>
    <row r="17" spans="1:28">
      <c r="A17" s="488"/>
      <c r="B17" s="488"/>
      <c r="C17" s="488"/>
      <c r="D17" s="488"/>
      <c r="E17" s="488"/>
      <c r="F17" s="488"/>
      <c r="G17" s="488"/>
      <c r="H17" s="488"/>
      <c r="I17" s="488"/>
      <c r="J17" s="488"/>
      <c r="K17" s="488"/>
      <c r="L17" s="488"/>
      <c r="M17" s="488"/>
      <c r="N17" s="488"/>
      <c r="O17" s="488"/>
      <c r="P17" s="488"/>
      <c r="Q17" s="488"/>
      <c r="R17" s="488"/>
      <c r="S17" s="488"/>
      <c r="T17" s="488"/>
      <c r="U17" s="488"/>
      <c r="V17" s="488"/>
      <c r="W17" s="488"/>
      <c r="X17" s="488"/>
      <c r="Y17" s="488"/>
      <c r="Z17" s="488"/>
      <c r="AA17" s="121"/>
      <c r="AB17" s="121"/>
    </row>
    <row r="18" spans="1:28">
      <c r="A18" s="488"/>
      <c r="B18" s="488"/>
      <c r="C18" s="488"/>
      <c r="D18" s="488"/>
      <c r="E18" s="488"/>
      <c r="F18" s="488"/>
      <c r="G18" s="488"/>
      <c r="H18" s="488"/>
      <c r="I18" s="488"/>
      <c r="J18" s="488"/>
      <c r="K18" s="488"/>
      <c r="L18" s="488"/>
      <c r="M18" s="488"/>
      <c r="N18" s="488"/>
      <c r="O18" s="488"/>
      <c r="P18" s="488"/>
      <c r="Q18" s="488"/>
      <c r="R18" s="488"/>
      <c r="S18" s="488"/>
      <c r="T18" s="488"/>
      <c r="U18" s="488"/>
      <c r="V18" s="488"/>
      <c r="W18" s="488"/>
      <c r="X18" s="488"/>
      <c r="Y18" s="488"/>
      <c r="Z18" s="488"/>
      <c r="AA18" s="121"/>
      <c r="AB18" s="121"/>
    </row>
    <row r="19" spans="1:28">
      <c r="A19" s="488"/>
      <c r="B19" s="488"/>
      <c r="C19" s="488"/>
      <c r="D19" s="488"/>
      <c r="E19" s="488"/>
      <c r="F19" s="488"/>
      <c r="G19" s="488"/>
      <c r="H19" s="488"/>
      <c r="I19" s="488"/>
      <c r="J19" s="488"/>
      <c r="K19" s="488"/>
      <c r="L19" s="488"/>
      <c r="M19" s="488"/>
      <c r="N19" s="488"/>
      <c r="O19" s="488"/>
      <c r="P19" s="488"/>
      <c r="Q19" s="488"/>
      <c r="R19" s="488"/>
      <c r="S19" s="488"/>
      <c r="T19" s="488"/>
      <c r="U19" s="488"/>
      <c r="V19" s="488"/>
      <c r="W19" s="488"/>
      <c r="X19" s="488"/>
      <c r="Y19" s="488"/>
      <c r="Z19" s="488"/>
      <c r="AA19" s="121"/>
      <c r="AB19" s="121"/>
    </row>
    <row r="20" spans="1:28">
      <c r="A20" s="494"/>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122"/>
      <c r="AB20" s="122"/>
    </row>
    <row r="21" spans="1:28">
      <c r="A21" s="494"/>
      <c r="B21" s="494"/>
      <c r="C21" s="494"/>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122"/>
      <c r="AB21" s="122"/>
    </row>
    <row r="22" spans="1:28">
      <c r="A22" s="495" t="s">
        <v>417</v>
      </c>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123"/>
      <c r="AB22" s="123"/>
    </row>
    <row r="23" spans="1:28" ht="32.25" customHeight="1">
      <c r="A23" s="490" t="s">
        <v>278</v>
      </c>
      <c r="B23" s="491"/>
      <c r="C23" s="491"/>
      <c r="D23" s="491"/>
      <c r="E23" s="491"/>
      <c r="F23" s="491"/>
      <c r="G23" s="491"/>
      <c r="H23" s="491"/>
      <c r="I23" s="491"/>
      <c r="J23" s="491"/>
      <c r="K23" s="491"/>
      <c r="L23" s="492"/>
      <c r="M23" s="493" t="s">
        <v>279</v>
      </c>
      <c r="N23" s="493"/>
      <c r="O23" s="493"/>
      <c r="P23" s="493"/>
      <c r="Q23" s="493"/>
      <c r="R23" s="493"/>
      <c r="S23" s="493"/>
      <c r="T23" s="493"/>
      <c r="U23" s="493"/>
      <c r="V23" s="493"/>
      <c r="W23" s="493"/>
      <c r="X23" s="493"/>
      <c r="Y23" s="493"/>
      <c r="Z23" s="493"/>
    </row>
    <row r="24" spans="1:28" ht="225.75" customHeight="1">
      <c r="A24" s="134" t="s">
        <v>220</v>
      </c>
      <c r="B24" s="135" t="s">
        <v>225</v>
      </c>
      <c r="C24" s="135" t="s">
        <v>488</v>
      </c>
      <c r="D24" s="135" t="s">
        <v>489</v>
      </c>
      <c r="E24" s="135" t="s">
        <v>490</v>
      </c>
      <c r="F24" s="135" t="s">
        <v>429</v>
      </c>
      <c r="G24" s="135" t="s">
        <v>430</v>
      </c>
      <c r="H24" s="135" t="s">
        <v>491</v>
      </c>
      <c r="I24" s="135" t="s">
        <v>431</v>
      </c>
      <c r="J24" s="135" t="s">
        <v>226</v>
      </c>
      <c r="K24" s="180" t="s">
        <v>224</v>
      </c>
      <c r="L24" s="180" t="s">
        <v>222</v>
      </c>
      <c r="M24" s="300" t="s">
        <v>228</v>
      </c>
      <c r="N24" s="180" t="s">
        <v>492</v>
      </c>
      <c r="O24" s="134" t="s">
        <v>432</v>
      </c>
      <c r="P24" s="134" t="s">
        <v>433</v>
      </c>
      <c r="Q24" s="134" t="s">
        <v>434</v>
      </c>
      <c r="R24" s="134" t="s">
        <v>221</v>
      </c>
      <c r="S24" s="134" t="s">
        <v>435</v>
      </c>
      <c r="T24" s="134" t="s">
        <v>436</v>
      </c>
      <c r="U24" s="134" t="s">
        <v>437</v>
      </c>
      <c r="V24" s="134" t="s">
        <v>434</v>
      </c>
      <c r="W24" s="136" t="s">
        <v>438</v>
      </c>
      <c r="X24" s="136" t="s">
        <v>439</v>
      </c>
      <c r="Y24" s="136" t="s">
        <v>440</v>
      </c>
      <c r="Z24" s="137" t="s">
        <v>229</v>
      </c>
    </row>
    <row r="25" spans="1:28" ht="16.5" customHeight="1">
      <c r="A25" s="174">
        <v>1</v>
      </c>
      <c r="B25" s="86">
        <v>2</v>
      </c>
      <c r="C25" s="174">
        <v>3</v>
      </c>
      <c r="D25" s="86">
        <v>4</v>
      </c>
      <c r="E25" s="174">
        <v>5</v>
      </c>
      <c r="F25" s="86">
        <v>6</v>
      </c>
      <c r="G25" s="174">
        <v>7</v>
      </c>
      <c r="H25" s="86">
        <v>8</v>
      </c>
      <c r="I25" s="174">
        <v>9</v>
      </c>
      <c r="J25" s="86">
        <v>10</v>
      </c>
      <c r="K25" s="174">
        <v>11</v>
      </c>
      <c r="L25" s="86">
        <v>12</v>
      </c>
      <c r="M25" s="174">
        <v>13</v>
      </c>
      <c r="N25" s="86">
        <v>14</v>
      </c>
      <c r="O25" s="174">
        <v>15</v>
      </c>
      <c r="P25" s="86">
        <v>16</v>
      </c>
      <c r="Q25" s="174">
        <v>17</v>
      </c>
      <c r="R25" s="86">
        <v>18</v>
      </c>
      <c r="S25" s="174">
        <v>19</v>
      </c>
      <c r="T25" s="86">
        <v>20</v>
      </c>
      <c r="U25" s="174">
        <v>21</v>
      </c>
      <c r="V25" s="86">
        <v>22</v>
      </c>
      <c r="W25" s="174">
        <v>23</v>
      </c>
      <c r="X25" s="86">
        <v>24</v>
      </c>
      <c r="Y25" s="174">
        <v>25</v>
      </c>
      <c r="Z25" s="86">
        <v>26</v>
      </c>
    </row>
    <row r="26" spans="1:28" ht="16.5" customHeight="1">
      <c r="A26" s="174"/>
      <c r="B26" s="86"/>
      <c r="C26" s="174"/>
      <c r="D26" s="86"/>
      <c r="E26" s="174"/>
      <c r="F26" s="86"/>
      <c r="G26" s="174"/>
      <c r="H26" s="86"/>
      <c r="I26" s="174"/>
      <c r="J26" s="301">
        <f>(COUNTIFS(C28:C28,"&gt;0")*J27)</f>
        <v>0</v>
      </c>
      <c r="K26" s="174"/>
      <c r="L26" s="86"/>
      <c r="M26" s="175"/>
      <c r="N26" s="86"/>
      <c r="O26" s="174"/>
      <c r="P26" s="86"/>
      <c r="Q26" s="174"/>
      <c r="R26" s="86"/>
      <c r="S26" s="174"/>
      <c r="T26" s="301" t="e">
        <f>(COUNTIFS(P28:P28,"&gt;0")*T27)</f>
        <v>#DIV/0!</v>
      </c>
      <c r="U26" s="174"/>
      <c r="V26" s="86"/>
      <c r="W26" s="174"/>
      <c r="X26" s="86"/>
      <c r="Y26" s="174"/>
      <c r="Z26" s="86"/>
    </row>
    <row r="27" spans="1:28" ht="45.75" customHeight="1">
      <c r="A27" s="79" t="s">
        <v>275</v>
      </c>
      <c r="B27" s="85"/>
      <c r="C27" s="81">
        <f>SUM(C28:C28)</f>
        <v>0</v>
      </c>
      <c r="D27" s="81">
        <f>SUM(D28:D28)</f>
        <v>0</v>
      </c>
      <c r="E27" s="81">
        <f>SUM(E28:E28)</f>
        <v>0</v>
      </c>
      <c r="F27" s="81">
        <f>SUM(F28:F28)</f>
        <v>0</v>
      </c>
      <c r="G27" s="81">
        <f>SUM(G28:G28)</f>
        <v>0</v>
      </c>
      <c r="H27" s="81" t="s">
        <v>221</v>
      </c>
      <c r="I27" s="302">
        <f>SUM(I28:I28)</f>
        <v>0</v>
      </c>
      <c r="J27" s="81">
        <f>SUM(J28:J28)</f>
        <v>0</v>
      </c>
      <c r="K27" s="78"/>
      <c r="L27" s="82"/>
      <c r="M27" s="84">
        <v>2024</v>
      </c>
      <c r="N27" s="81">
        <f>SUM(N28:N28)</f>
        <v>0</v>
      </c>
      <c r="O27" s="81">
        <f>SUM(O28:O28)</f>
        <v>0</v>
      </c>
      <c r="P27" s="81">
        <f>SUM(P28:P28)</f>
        <v>0</v>
      </c>
      <c r="Q27" s="81" t="e">
        <f>SUM(Q28:Q28)</f>
        <v>#DIV/0!</v>
      </c>
      <c r="R27" s="81"/>
      <c r="S27" s="302" t="e">
        <f>SUM(S28:S28)</f>
        <v>#DIV/0!</v>
      </c>
      <c r="T27" s="81" t="e">
        <f>SUM(T28:T28)</f>
        <v>#DIV/0!</v>
      </c>
      <c r="U27" s="81">
        <f>SUM(U28:U28)</f>
        <v>0</v>
      </c>
      <c r="V27" s="81" t="e">
        <f>SUM(V28:V28)</f>
        <v>#DIV/0!</v>
      </c>
      <c r="W27" s="303" t="e">
        <f>I27-S27</f>
        <v>#DIV/0!</v>
      </c>
      <c r="X27" s="303" t="e">
        <f>J26-T26</f>
        <v>#DIV/0!</v>
      </c>
      <c r="Y27" s="303">
        <f>SUM(Y28:Y28)</f>
        <v>0</v>
      </c>
      <c r="Z27" s="80"/>
    </row>
    <row r="28" spans="1:28">
      <c r="A28" s="312" t="s">
        <v>459</v>
      </c>
      <c r="B28" s="305"/>
      <c r="C28" s="304"/>
      <c r="D28" s="304"/>
      <c r="E28" s="306"/>
      <c r="F28" s="307"/>
      <c r="G28" s="307"/>
      <c r="H28" s="307"/>
      <c r="I28" s="307"/>
      <c r="J28" s="307"/>
      <c r="K28" s="308"/>
      <c r="L28" s="309"/>
      <c r="M28" s="310"/>
      <c r="N28" s="311">
        <v>0</v>
      </c>
      <c r="O28" s="311">
        <f>D28*N28</f>
        <v>0</v>
      </c>
      <c r="P28" s="311">
        <f>C28*N28</f>
        <v>0</v>
      </c>
      <c r="Q28" s="311" t="e">
        <f>P28/R28</f>
        <v>#DIV/0!</v>
      </c>
      <c r="R28" s="311">
        <f>H28</f>
        <v>0</v>
      </c>
      <c r="S28" s="311" t="e">
        <f>O28/R28</f>
        <v>#DIV/0!</v>
      </c>
      <c r="T28" s="311" t="e">
        <f>D28/R28</f>
        <v>#DIV/0!</v>
      </c>
      <c r="U28" s="311">
        <f>P28*E28</f>
        <v>0</v>
      </c>
      <c r="V28" s="311" t="e">
        <f>P28/R28</f>
        <v>#DIV/0!</v>
      </c>
      <c r="W28" s="311" t="e">
        <f>I28-S28</f>
        <v>#DIV/0!</v>
      </c>
      <c r="X28" s="311" t="e">
        <f>J28-(O28/R28)</f>
        <v>#DIV/0!</v>
      </c>
      <c r="Y28" s="311">
        <f>G28-U28</f>
        <v>0</v>
      </c>
      <c r="Z28" s="81"/>
    </row>
    <row r="29" spans="1:28">
      <c r="A29" s="78" t="s">
        <v>0</v>
      </c>
      <c r="B29" s="78" t="s">
        <v>0</v>
      </c>
      <c r="C29" s="78" t="s">
        <v>0</v>
      </c>
      <c r="D29" s="78" t="s">
        <v>0</v>
      </c>
      <c r="E29" s="78" t="s">
        <v>0</v>
      </c>
      <c r="F29" s="78" t="s">
        <v>0</v>
      </c>
      <c r="G29" s="78" t="s">
        <v>0</v>
      </c>
      <c r="H29" s="78" t="s">
        <v>0</v>
      </c>
      <c r="I29" s="78" t="s">
        <v>0</v>
      </c>
      <c r="J29" s="78" t="s">
        <v>0</v>
      </c>
      <c r="K29" s="78" t="s">
        <v>0</v>
      </c>
      <c r="L29" s="83"/>
      <c r="M29" s="78"/>
      <c r="N29" s="78"/>
      <c r="O29" s="81"/>
      <c r="P29" s="81"/>
      <c r="Q29" s="81"/>
      <c r="R29" s="81"/>
      <c r="S29" s="81"/>
      <c r="T29" s="81"/>
      <c r="U29" s="81"/>
      <c r="V29" s="81"/>
      <c r="W29" s="81"/>
      <c r="X29" s="81"/>
      <c r="Y29" s="81"/>
      <c r="Z29" s="78"/>
    </row>
    <row r="30" spans="1:28" ht="30">
      <c r="A30" s="85" t="s">
        <v>276</v>
      </c>
      <c r="B30" s="85"/>
      <c r="C30" s="81" t="s">
        <v>493</v>
      </c>
      <c r="D30" s="81" t="s">
        <v>494</v>
      </c>
      <c r="E30" s="81" t="s">
        <v>495</v>
      </c>
      <c r="F30" s="81" t="s">
        <v>496</v>
      </c>
      <c r="G30" s="81" t="s">
        <v>497</v>
      </c>
      <c r="H30" s="81" t="s">
        <v>221</v>
      </c>
      <c r="I30" s="81" t="s">
        <v>498</v>
      </c>
      <c r="J30" s="81" t="s">
        <v>499</v>
      </c>
      <c r="K30" s="78"/>
      <c r="L30" s="78"/>
      <c r="M30" s="78"/>
      <c r="N30" s="78"/>
      <c r="O30" s="81"/>
      <c r="P30" s="81"/>
      <c r="Q30" s="81"/>
      <c r="R30" s="81"/>
      <c r="S30" s="81"/>
      <c r="T30" s="81"/>
      <c r="U30" s="81"/>
      <c r="V30" s="81"/>
      <c r="W30" s="81"/>
      <c r="X30" s="81"/>
      <c r="Y30" s="81"/>
      <c r="Z30" s="78"/>
    </row>
    <row r="31" spans="1:28">
      <c r="A31" s="78" t="s">
        <v>0</v>
      </c>
      <c r="B31" s="78" t="s">
        <v>0</v>
      </c>
      <c r="C31" s="78" t="s">
        <v>0</v>
      </c>
      <c r="D31" s="78" t="s">
        <v>0</v>
      </c>
      <c r="E31" s="78" t="s">
        <v>0</v>
      </c>
      <c r="F31" s="78" t="s">
        <v>0</v>
      </c>
      <c r="G31" s="78" t="s">
        <v>0</v>
      </c>
      <c r="H31" s="78" t="s">
        <v>0</v>
      </c>
      <c r="I31" s="78" t="s">
        <v>0</v>
      </c>
      <c r="J31" s="78" t="s">
        <v>0</v>
      </c>
      <c r="K31" s="78" t="s">
        <v>0</v>
      </c>
      <c r="L31" s="78"/>
      <c r="M31" s="78"/>
      <c r="N31" s="78"/>
      <c r="O31" s="78"/>
      <c r="P31" s="78"/>
      <c r="Q31" s="78"/>
      <c r="R31" s="78"/>
      <c r="S31" s="78"/>
      <c r="T31" s="78"/>
      <c r="U31" s="78"/>
      <c r="V31" s="78"/>
      <c r="W31" s="78"/>
      <c r="X31" s="78"/>
      <c r="Y31" s="78"/>
      <c r="Z31" s="78"/>
    </row>
    <row r="33" spans="1:9">
      <c r="I33" t="s">
        <v>428</v>
      </c>
    </row>
    <row r="35" spans="1:9">
      <c r="A35" s="91"/>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P22" sqref="P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9" t="str">
        <f>'1. паспорт местоположение'!A5:C5</f>
        <v>Год раскрытия информации: 2020 год</v>
      </c>
      <c r="B5" s="449"/>
      <c r="C5" s="449"/>
      <c r="D5" s="449"/>
      <c r="E5" s="449"/>
      <c r="F5" s="449"/>
      <c r="G5" s="449"/>
      <c r="H5" s="449"/>
      <c r="I5" s="449"/>
      <c r="J5" s="449"/>
      <c r="K5" s="449"/>
      <c r="L5" s="449"/>
      <c r="M5" s="449"/>
      <c r="N5" s="449"/>
      <c r="O5" s="449"/>
      <c r="P5" s="120"/>
      <c r="Q5" s="120"/>
      <c r="R5" s="120"/>
      <c r="S5" s="120"/>
      <c r="T5" s="120"/>
      <c r="U5" s="120"/>
      <c r="V5" s="120"/>
      <c r="W5" s="120"/>
      <c r="X5" s="120"/>
      <c r="Y5" s="120"/>
      <c r="Z5" s="120"/>
      <c r="AA5" s="120"/>
      <c r="AB5" s="120"/>
    </row>
    <row r="6" spans="1:28" s="11" customFormat="1" ht="18.75">
      <c r="A6" s="16"/>
      <c r="B6" s="16"/>
      <c r="L6" s="14"/>
    </row>
    <row r="7" spans="1:28" s="11" customFormat="1" ht="18.75">
      <c r="A7" s="453" t="s">
        <v>8</v>
      </c>
      <c r="B7" s="453"/>
      <c r="C7" s="453"/>
      <c r="D7" s="453"/>
      <c r="E7" s="453"/>
      <c r="F7" s="453"/>
      <c r="G7" s="453"/>
      <c r="H7" s="453"/>
      <c r="I7" s="453"/>
      <c r="J7" s="453"/>
      <c r="K7" s="453"/>
      <c r="L7" s="453"/>
      <c r="M7" s="453"/>
      <c r="N7" s="453"/>
      <c r="O7" s="453"/>
      <c r="P7" s="12"/>
      <c r="Q7" s="12"/>
      <c r="R7" s="12"/>
      <c r="S7" s="12"/>
      <c r="T7" s="12"/>
      <c r="U7" s="12"/>
      <c r="V7" s="12"/>
      <c r="W7" s="12"/>
      <c r="X7" s="12"/>
      <c r="Y7" s="12"/>
      <c r="Z7" s="12"/>
    </row>
    <row r="8" spans="1:28" s="11" customFormat="1" ht="18.75">
      <c r="A8" s="453"/>
      <c r="B8" s="453"/>
      <c r="C8" s="453"/>
      <c r="D8" s="453"/>
      <c r="E8" s="453"/>
      <c r="F8" s="453"/>
      <c r="G8" s="453"/>
      <c r="H8" s="453"/>
      <c r="I8" s="453"/>
      <c r="J8" s="453"/>
      <c r="K8" s="453"/>
      <c r="L8" s="453"/>
      <c r="M8" s="453"/>
      <c r="N8" s="453"/>
      <c r="O8" s="453"/>
      <c r="P8" s="12"/>
      <c r="Q8" s="12"/>
      <c r="R8" s="12"/>
      <c r="S8" s="12"/>
      <c r="T8" s="12"/>
      <c r="U8" s="12"/>
      <c r="V8" s="12"/>
      <c r="W8" s="12"/>
      <c r="X8" s="12"/>
      <c r="Y8" s="12"/>
      <c r="Z8" s="12"/>
    </row>
    <row r="9" spans="1:28" s="11" customFormat="1" ht="18.75">
      <c r="A9" s="452" t="str">
        <f>'1. паспорт местоположение'!A9:C9</f>
        <v>АО "Крымэнерго"</v>
      </c>
      <c r="B9" s="452"/>
      <c r="C9" s="452"/>
      <c r="D9" s="452"/>
      <c r="E9" s="452"/>
      <c r="F9" s="452"/>
      <c r="G9" s="452"/>
      <c r="H9" s="452"/>
      <c r="I9" s="452"/>
      <c r="J9" s="452"/>
      <c r="K9" s="452"/>
      <c r="L9" s="452"/>
      <c r="M9" s="452"/>
      <c r="N9" s="452"/>
      <c r="O9" s="452"/>
      <c r="P9" s="12"/>
      <c r="Q9" s="12"/>
      <c r="R9" s="12"/>
      <c r="S9" s="12"/>
      <c r="T9" s="12"/>
      <c r="U9" s="12"/>
      <c r="V9" s="12"/>
      <c r="W9" s="12"/>
      <c r="X9" s="12"/>
      <c r="Y9" s="12"/>
      <c r="Z9" s="12"/>
    </row>
    <row r="10" spans="1:28" s="11" customFormat="1" ht="18.75">
      <c r="A10" s="450" t="s">
        <v>7</v>
      </c>
      <c r="B10" s="450"/>
      <c r="C10" s="450"/>
      <c r="D10" s="450"/>
      <c r="E10" s="450"/>
      <c r="F10" s="450"/>
      <c r="G10" s="450"/>
      <c r="H10" s="450"/>
      <c r="I10" s="450"/>
      <c r="J10" s="450"/>
      <c r="K10" s="450"/>
      <c r="L10" s="450"/>
      <c r="M10" s="450"/>
      <c r="N10" s="450"/>
      <c r="O10" s="450"/>
      <c r="P10" s="12"/>
      <c r="Q10" s="12"/>
      <c r="R10" s="12"/>
      <c r="S10" s="12"/>
      <c r="T10" s="12"/>
      <c r="U10" s="12"/>
      <c r="V10" s="12"/>
      <c r="W10" s="12"/>
      <c r="X10" s="12"/>
      <c r="Y10" s="12"/>
      <c r="Z10" s="12"/>
    </row>
    <row r="11" spans="1:28" s="11" customFormat="1" ht="18.75">
      <c r="A11" s="453"/>
      <c r="B11" s="453"/>
      <c r="C11" s="453"/>
      <c r="D11" s="453"/>
      <c r="E11" s="453"/>
      <c r="F11" s="453"/>
      <c r="G11" s="453"/>
      <c r="H11" s="453"/>
      <c r="I11" s="453"/>
      <c r="J11" s="453"/>
      <c r="K11" s="453"/>
      <c r="L11" s="453"/>
      <c r="M11" s="453"/>
      <c r="N11" s="453"/>
      <c r="O11" s="453"/>
      <c r="P11" s="12"/>
      <c r="Q11" s="12"/>
      <c r="R11" s="12"/>
      <c r="S11" s="12"/>
      <c r="T11" s="12"/>
      <c r="U11" s="12"/>
      <c r="V11" s="12"/>
      <c r="W11" s="12"/>
      <c r="X11" s="12"/>
      <c r="Y11" s="12"/>
      <c r="Z11" s="12"/>
    </row>
    <row r="12" spans="1:28" s="11" customFormat="1" ht="18.75">
      <c r="A12" s="452" t="str">
        <f>'1. паспорт местоположение'!A12:C12</f>
        <v>K_1101004</v>
      </c>
      <c r="B12" s="452"/>
      <c r="C12" s="452"/>
      <c r="D12" s="452"/>
      <c r="E12" s="452"/>
      <c r="F12" s="452"/>
      <c r="G12" s="452"/>
      <c r="H12" s="452"/>
      <c r="I12" s="452"/>
      <c r="J12" s="452"/>
      <c r="K12" s="452"/>
      <c r="L12" s="452"/>
      <c r="M12" s="452"/>
      <c r="N12" s="452"/>
      <c r="O12" s="452"/>
      <c r="P12" s="12"/>
      <c r="Q12" s="12"/>
      <c r="R12" s="12"/>
      <c r="S12" s="12"/>
      <c r="T12" s="12"/>
      <c r="U12" s="12"/>
      <c r="V12" s="12"/>
      <c r="W12" s="12"/>
      <c r="X12" s="12"/>
      <c r="Y12" s="12"/>
      <c r="Z12" s="12"/>
    </row>
    <row r="13" spans="1:28" s="11" customFormat="1" ht="18.75">
      <c r="A13" s="450" t="s">
        <v>6</v>
      </c>
      <c r="B13" s="450"/>
      <c r="C13" s="450"/>
      <c r="D13" s="450"/>
      <c r="E13" s="450"/>
      <c r="F13" s="450"/>
      <c r="G13" s="450"/>
      <c r="H13" s="450"/>
      <c r="I13" s="450"/>
      <c r="J13" s="450"/>
      <c r="K13" s="450"/>
      <c r="L13" s="450"/>
      <c r="M13" s="450"/>
      <c r="N13" s="450"/>
      <c r="O13" s="450"/>
      <c r="P13" s="12"/>
      <c r="Q13" s="12"/>
      <c r="R13" s="12"/>
      <c r="S13" s="12"/>
      <c r="T13" s="12"/>
      <c r="U13" s="12"/>
      <c r="V13" s="12"/>
      <c r="W13" s="12"/>
      <c r="X13" s="12"/>
      <c r="Y13" s="12"/>
      <c r="Z13" s="12"/>
    </row>
    <row r="14" spans="1:28" s="8" customFormat="1" ht="15.75" customHeight="1">
      <c r="A14" s="457"/>
      <c r="B14" s="457"/>
      <c r="C14" s="457"/>
      <c r="D14" s="457"/>
      <c r="E14" s="457"/>
      <c r="F14" s="457"/>
      <c r="G14" s="457"/>
      <c r="H14" s="457"/>
      <c r="I14" s="457"/>
      <c r="J14" s="457"/>
      <c r="K14" s="457"/>
      <c r="L14" s="457"/>
      <c r="M14" s="457"/>
      <c r="N14" s="457"/>
      <c r="O14" s="457"/>
      <c r="P14" s="9"/>
      <c r="Q14" s="9"/>
      <c r="R14" s="9"/>
      <c r="S14" s="9"/>
      <c r="T14" s="9"/>
      <c r="U14" s="9"/>
      <c r="V14" s="9"/>
      <c r="W14" s="9"/>
      <c r="X14" s="9"/>
      <c r="Y14" s="9"/>
      <c r="Z14" s="9"/>
    </row>
    <row r="15" spans="1:28" s="3" customFormat="1" ht="18.75">
      <c r="A15" s="452" t="str">
        <f>'1. паспорт местоположение'!A15:C15</f>
        <v>Реконструкция ПС 110 кВ "Артек" с заменой силовых трансформаторов  и расширением РУ 10 кВ  на 4 линейных ячеек.</v>
      </c>
      <c r="B15" s="452"/>
      <c r="C15" s="452"/>
      <c r="D15" s="452"/>
      <c r="E15" s="452"/>
      <c r="F15" s="452"/>
      <c r="G15" s="452"/>
      <c r="H15" s="452"/>
      <c r="I15" s="452"/>
      <c r="J15" s="452"/>
      <c r="K15" s="452"/>
      <c r="L15" s="452"/>
      <c r="M15" s="452"/>
      <c r="N15" s="452"/>
      <c r="O15" s="452"/>
      <c r="P15" s="7"/>
      <c r="Q15" s="7"/>
      <c r="R15" s="7"/>
      <c r="S15" s="7"/>
      <c r="T15" s="7"/>
      <c r="U15" s="7"/>
      <c r="V15" s="7"/>
      <c r="W15" s="7"/>
      <c r="X15" s="7"/>
      <c r="Y15" s="7"/>
      <c r="Z15" s="7"/>
    </row>
    <row r="16" spans="1:28" s="3" customFormat="1" ht="15" customHeight="1">
      <c r="A16" s="450" t="s">
        <v>5</v>
      </c>
      <c r="B16" s="450"/>
      <c r="C16" s="450"/>
      <c r="D16" s="450"/>
      <c r="E16" s="450"/>
      <c r="F16" s="450"/>
      <c r="G16" s="450"/>
      <c r="H16" s="450"/>
      <c r="I16" s="450"/>
      <c r="J16" s="450"/>
      <c r="K16" s="450"/>
      <c r="L16" s="450"/>
      <c r="M16" s="450"/>
      <c r="N16" s="450"/>
      <c r="O16" s="450"/>
      <c r="P16" s="5"/>
      <c r="Q16" s="5"/>
      <c r="R16" s="5"/>
      <c r="S16" s="5"/>
      <c r="T16" s="5"/>
      <c r="U16" s="5"/>
      <c r="V16" s="5"/>
      <c r="W16" s="5"/>
      <c r="X16" s="5"/>
      <c r="Y16" s="5"/>
      <c r="Z16" s="5"/>
    </row>
    <row r="17" spans="1:26" s="3" customFormat="1" ht="15" customHeight="1">
      <c r="A17" s="458"/>
      <c r="B17" s="458"/>
      <c r="C17" s="458"/>
      <c r="D17" s="458"/>
      <c r="E17" s="458"/>
      <c r="F17" s="458"/>
      <c r="G17" s="458"/>
      <c r="H17" s="458"/>
      <c r="I17" s="458"/>
      <c r="J17" s="458"/>
      <c r="K17" s="458"/>
      <c r="L17" s="458"/>
      <c r="M17" s="458"/>
      <c r="N17" s="458"/>
      <c r="O17" s="458"/>
      <c r="P17" s="4"/>
      <c r="Q17" s="4"/>
      <c r="R17" s="4"/>
      <c r="S17" s="4"/>
      <c r="T17" s="4"/>
      <c r="U17" s="4"/>
      <c r="V17" s="4"/>
      <c r="W17" s="4"/>
    </row>
    <row r="18" spans="1:26" s="3" customFormat="1" ht="91.5" customHeight="1">
      <c r="A18" s="496" t="s">
        <v>395</v>
      </c>
      <c r="B18" s="496"/>
      <c r="C18" s="496"/>
      <c r="D18" s="496"/>
      <c r="E18" s="496"/>
      <c r="F18" s="496"/>
      <c r="G18" s="496"/>
      <c r="H18" s="496"/>
      <c r="I18" s="496"/>
      <c r="J18" s="496"/>
      <c r="K18" s="496"/>
      <c r="L18" s="496"/>
      <c r="M18" s="496"/>
      <c r="N18" s="496"/>
      <c r="O18" s="496"/>
      <c r="P18" s="6"/>
      <c r="Q18" s="6"/>
      <c r="R18" s="6"/>
      <c r="S18" s="6"/>
      <c r="T18" s="6"/>
      <c r="U18" s="6"/>
      <c r="V18" s="6"/>
      <c r="W18" s="6"/>
      <c r="X18" s="6"/>
      <c r="Y18" s="6"/>
      <c r="Z18" s="6"/>
    </row>
    <row r="19" spans="1:26" s="3" customFormat="1" ht="78" customHeight="1">
      <c r="A19" s="497" t="s">
        <v>4</v>
      </c>
      <c r="B19" s="497" t="s">
        <v>84</v>
      </c>
      <c r="C19" s="497" t="s">
        <v>83</v>
      </c>
      <c r="D19" s="497" t="s">
        <v>75</v>
      </c>
      <c r="E19" s="498" t="s">
        <v>82</v>
      </c>
      <c r="F19" s="499"/>
      <c r="G19" s="499"/>
      <c r="H19" s="499"/>
      <c r="I19" s="500"/>
      <c r="J19" s="497" t="s">
        <v>81</v>
      </c>
      <c r="K19" s="497"/>
      <c r="L19" s="497"/>
      <c r="M19" s="497"/>
      <c r="N19" s="497"/>
      <c r="O19" s="497"/>
      <c r="P19" s="4"/>
      <c r="Q19" s="4"/>
      <c r="R19" s="4"/>
      <c r="S19" s="4"/>
      <c r="T19" s="4"/>
      <c r="U19" s="4"/>
      <c r="V19" s="4"/>
      <c r="W19" s="4"/>
    </row>
    <row r="20" spans="1:26" s="3" customFormat="1" ht="115.5" customHeight="1">
      <c r="A20" s="497"/>
      <c r="B20" s="497"/>
      <c r="C20" s="497"/>
      <c r="D20" s="497"/>
      <c r="E20" s="124" t="s">
        <v>80</v>
      </c>
      <c r="F20" s="124" t="s">
        <v>79</v>
      </c>
      <c r="G20" s="124" t="s">
        <v>78</v>
      </c>
      <c r="H20" s="124" t="s">
        <v>77</v>
      </c>
      <c r="I20" s="124" t="s">
        <v>76</v>
      </c>
      <c r="J20" s="124">
        <v>2019</v>
      </c>
      <c r="K20" s="124">
        <v>2021</v>
      </c>
      <c r="L20" s="42">
        <v>2022</v>
      </c>
      <c r="M20" s="42">
        <v>2023</v>
      </c>
      <c r="N20" s="42">
        <v>2024</v>
      </c>
      <c r="O20" s="42">
        <v>2025</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13" t="s">
        <v>446</v>
      </c>
      <c r="C22" s="27" t="s">
        <v>459</v>
      </c>
      <c r="D22" s="263" t="s">
        <v>459</v>
      </c>
      <c r="E22" s="27" t="s">
        <v>459</v>
      </c>
      <c r="F22" s="263" t="s">
        <v>459</v>
      </c>
      <c r="G22" s="263" t="s">
        <v>459</v>
      </c>
      <c r="H22" s="263" t="s">
        <v>459</v>
      </c>
      <c r="I22" s="263" t="s">
        <v>459</v>
      </c>
      <c r="J22" s="212">
        <v>0</v>
      </c>
      <c r="K22" s="212">
        <v>0</v>
      </c>
      <c r="L22" s="212">
        <v>0</v>
      </c>
      <c r="M22" s="212">
        <v>0</v>
      </c>
      <c r="N22" s="212">
        <v>0</v>
      </c>
      <c r="O22" s="212">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G9" sqref="G9"/>
    </sheetView>
  </sheetViews>
  <sheetFormatPr defaultRowHeight="15.75" outlineLevelRow="1"/>
  <cols>
    <col min="1" max="1" width="61.7109375" style="269" customWidth="1"/>
    <col min="2" max="2" width="18.5703125" style="269" customWidth="1"/>
    <col min="3" max="3" width="22.5703125" style="269" customWidth="1"/>
    <col min="4" max="4" width="18.5703125" style="269" customWidth="1"/>
    <col min="5" max="5" width="23.140625" style="269" customWidth="1"/>
    <col min="6" max="10" width="16.28515625" style="269" customWidth="1"/>
    <col min="11" max="11" width="14.5703125" style="269" customWidth="1"/>
    <col min="12" max="12" width="9.140625" style="269"/>
    <col min="13" max="13" width="21.7109375" style="269" customWidth="1"/>
    <col min="14" max="16384" width="9.140625" style="269"/>
  </cols>
  <sheetData>
    <row r="1" spans="1:11">
      <c r="K1" s="275" t="s">
        <v>505</v>
      </c>
    </row>
    <row r="2" spans="1:11" ht="18.75">
      <c r="B2" s="502" t="s">
        <v>445</v>
      </c>
      <c r="C2" s="502"/>
      <c r="D2" s="502"/>
      <c r="E2" s="502"/>
      <c r="F2" s="502"/>
      <c r="G2" s="502"/>
      <c r="K2" s="275" t="s">
        <v>9</v>
      </c>
    </row>
    <row r="3" spans="1:11">
      <c r="B3" s="328"/>
      <c r="C3" s="328"/>
      <c r="D3" s="329"/>
      <c r="E3" s="328"/>
      <c r="F3" s="328"/>
      <c r="G3" s="328"/>
      <c r="K3" s="275"/>
    </row>
    <row r="4" spans="1:11" ht="18.75">
      <c r="B4" s="503" t="s">
        <v>8</v>
      </c>
      <c r="C4" s="503"/>
      <c r="D4" s="503"/>
      <c r="E4" s="503"/>
      <c r="F4" s="503"/>
      <c r="G4" s="503"/>
      <c r="K4" s="275"/>
    </row>
    <row r="5" spans="1:11" ht="18.75">
      <c r="B5" s="330"/>
      <c r="C5" s="330"/>
      <c r="D5" s="330"/>
      <c r="E5" s="330"/>
      <c r="F5" s="330"/>
      <c r="G5" s="330"/>
      <c r="K5" s="275"/>
    </row>
    <row r="6" spans="1:11" ht="18.75">
      <c r="B6" s="504" t="s">
        <v>507</v>
      </c>
      <c r="C6" s="504"/>
      <c r="D6" s="504"/>
      <c r="E6" s="504"/>
      <c r="F6" s="504"/>
      <c r="G6" s="504"/>
      <c r="K6" s="275"/>
    </row>
    <row r="7" spans="1:11">
      <c r="B7" s="505" t="s">
        <v>7</v>
      </c>
      <c r="C7" s="505"/>
      <c r="D7" s="505"/>
      <c r="E7" s="505"/>
      <c r="F7" s="505"/>
      <c r="G7" s="505"/>
      <c r="K7" s="275" t="s">
        <v>486</v>
      </c>
    </row>
    <row r="8" spans="1:11" ht="18.75">
      <c r="B8" s="330"/>
      <c r="C8" s="330"/>
      <c r="D8" s="330"/>
      <c r="E8" s="330"/>
      <c r="F8" s="330"/>
      <c r="G8" s="330"/>
      <c r="K8" s="275"/>
    </row>
    <row r="9" spans="1:11" ht="18.75">
      <c r="A9" s="331"/>
      <c r="B9" s="504" t="s">
        <v>532</v>
      </c>
      <c r="C9" s="504"/>
      <c r="D9" s="504"/>
      <c r="E9" s="504"/>
      <c r="F9" s="504"/>
      <c r="G9" s="332"/>
      <c r="H9" s="331"/>
      <c r="I9" s="331"/>
      <c r="J9" s="331"/>
      <c r="K9" s="331"/>
    </row>
    <row r="10" spans="1:11">
      <c r="B10" s="505" t="s">
        <v>6</v>
      </c>
      <c r="C10" s="505"/>
      <c r="D10" s="505"/>
      <c r="E10" s="505"/>
      <c r="F10" s="505"/>
      <c r="G10" s="333"/>
      <c r="H10" s="334"/>
      <c r="I10" s="334"/>
      <c r="J10" s="334"/>
      <c r="K10" s="334"/>
    </row>
    <row r="11" spans="1:11" ht="18.75">
      <c r="A11" s="334"/>
      <c r="J11" s="335"/>
      <c r="K11" s="336"/>
    </row>
    <row r="12" spans="1:11" ht="18.75">
      <c r="A12" s="334"/>
      <c r="C12" s="337"/>
      <c r="D12" s="337"/>
      <c r="E12" s="337"/>
      <c r="F12" s="337"/>
      <c r="G12" s="337"/>
      <c r="H12" s="337"/>
      <c r="I12" s="337"/>
      <c r="J12" s="338"/>
      <c r="K12" s="339"/>
    </row>
    <row r="13" spans="1:11" ht="18.75">
      <c r="A13" s="334"/>
      <c r="C13" s="340" t="s">
        <v>506</v>
      </c>
      <c r="D13" s="337"/>
      <c r="E13" s="337"/>
      <c r="F13" s="337"/>
      <c r="G13" s="337"/>
      <c r="H13" s="337"/>
      <c r="I13" s="337"/>
      <c r="J13" s="338"/>
      <c r="K13" s="339"/>
    </row>
    <row r="14" spans="1:11" ht="18.75">
      <c r="A14" s="334"/>
      <c r="C14" s="341"/>
      <c r="D14" s="341"/>
      <c r="E14" s="341"/>
      <c r="F14" s="342">
        <f>135614108.86/1.2</f>
        <v>113011757.38333336</v>
      </c>
      <c r="G14" s="341"/>
      <c r="H14" s="343"/>
      <c r="I14" s="343"/>
      <c r="J14" s="506"/>
      <c r="K14" s="507"/>
    </row>
    <row r="15" spans="1:11" ht="25.5" customHeight="1">
      <c r="A15" s="334"/>
      <c r="C15" s="341"/>
      <c r="D15" s="342"/>
      <c r="E15" s="342"/>
      <c r="F15" s="342"/>
      <c r="G15" s="342"/>
      <c r="H15" s="344"/>
      <c r="I15" s="343"/>
      <c r="J15" s="338"/>
      <c r="K15" s="339"/>
    </row>
    <row r="16" spans="1:11" ht="18.75">
      <c r="A16" s="334"/>
      <c r="C16" s="345"/>
      <c r="D16" s="346"/>
      <c r="E16" s="345"/>
      <c r="F16" s="345"/>
      <c r="G16" s="345"/>
      <c r="H16" s="337"/>
      <c r="I16" s="337"/>
      <c r="J16" s="338"/>
      <c r="K16" s="339"/>
    </row>
    <row r="17" spans="1:18">
      <c r="C17" s="345"/>
      <c r="D17" s="347" t="s">
        <v>477</v>
      </c>
      <c r="E17" s="345"/>
      <c r="F17" s="345"/>
      <c r="G17" s="345"/>
      <c r="H17" s="345"/>
      <c r="I17" s="345"/>
      <c r="J17" s="345"/>
      <c r="K17" s="345"/>
    </row>
    <row r="18" spans="1:18" ht="16.5" thickBot="1">
      <c r="A18" s="348" t="s">
        <v>272</v>
      </c>
      <c r="B18" s="349" t="s">
        <v>1</v>
      </c>
      <c r="C18" s="341">
        <v>2021</v>
      </c>
      <c r="D18" s="350">
        <v>2022</v>
      </c>
      <c r="E18" s="351">
        <v>2023</v>
      </c>
      <c r="F18" s="351">
        <v>2024</v>
      </c>
      <c r="G18" s="351">
        <v>2025</v>
      </c>
      <c r="H18" s="351">
        <v>2026</v>
      </c>
      <c r="I18" s="345"/>
      <c r="J18" s="345"/>
      <c r="K18" s="345"/>
    </row>
    <row r="19" spans="1:18">
      <c r="A19" s="352" t="s">
        <v>485</v>
      </c>
      <c r="B19" s="353">
        <f>SUM(C19:H19)</f>
        <v>0</v>
      </c>
      <c r="C19" s="342">
        <v>0</v>
      </c>
      <c r="D19" s="354">
        <v>0</v>
      </c>
      <c r="E19" s="342"/>
      <c r="F19" s="354">
        <v>0</v>
      </c>
      <c r="G19" s="341">
        <v>0</v>
      </c>
      <c r="H19" s="341"/>
      <c r="I19" s="345"/>
      <c r="J19" s="345"/>
      <c r="K19" s="345"/>
    </row>
    <row r="20" spans="1:18">
      <c r="A20" s="355" t="s">
        <v>270</v>
      </c>
      <c r="B20" s="356">
        <v>0</v>
      </c>
      <c r="C20" s="357"/>
      <c r="D20" s="357"/>
      <c r="E20" s="357"/>
      <c r="F20" s="357"/>
      <c r="G20" s="343"/>
      <c r="H20" s="343"/>
      <c r="I20" s="343"/>
      <c r="J20" s="337"/>
      <c r="K20" s="337"/>
    </row>
    <row r="21" spans="1:18">
      <c r="A21" s="355" t="s">
        <v>268</v>
      </c>
      <c r="B21" s="356">
        <v>25</v>
      </c>
      <c r="C21" s="358"/>
      <c r="D21" s="359" t="s">
        <v>271</v>
      </c>
      <c r="O21" s="360"/>
    </row>
    <row r="22" spans="1:18" ht="16.5" thickBot="1">
      <c r="A22" s="361" t="s">
        <v>266</v>
      </c>
      <c r="B22" s="362">
        <v>1</v>
      </c>
      <c r="C22" s="358"/>
      <c r="D22" s="508" t="s">
        <v>269</v>
      </c>
      <c r="E22" s="508"/>
      <c r="F22" s="363"/>
      <c r="G22" s="364">
        <f>SUM(B84:K84)</f>
        <v>0</v>
      </c>
      <c r="O22" s="360"/>
      <c r="R22" s="365"/>
    </row>
    <row r="23" spans="1:18">
      <c r="A23" s="352" t="s">
        <v>265</v>
      </c>
      <c r="B23" s="353">
        <v>0</v>
      </c>
      <c r="C23" s="358"/>
      <c r="D23" s="508" t="s">
        <v>267</v>
      </c>
      <c r="E23" s="508"/>
      <c r="F23" s="363"/>
      <c r="G23" s="364" t="str">
        <f>IF(SUM(B85:K85)=0,"не окупается",SUM(B85:K85))</f>
        <v>не окупается</v>
      </c>
      <c r="O23" s="360"/>
    </row>
    <row r="24" spans="1:18">
      <c r="A24" s="355" t="s">
        <v>484</v>
      </c>
      <c r="B24" s="366">
        <f>2022+12</f>
        <v>2034</v>
      </c>
      <c r="C24" s="367"/>
      <c r="D24" s="508" t="s">
        <v>483</v>
      </c>
      <c r="E24" s="508"/>
      <c r="F24" s="363"/>
      <c r="G24" s="368">
        <f>K82</f>
        <v>0</v>
      </c>
      <c r="O24" s="360"/>
    </row>
    <row r="25" spans="1:18">
      <c r="A25" s="355" t="s">
        <v>264</v>
      </c>
      <c r="B25" s="369">
        <v>12</v>
      </c>
      <c r="C25" s="370"/>
      <c r="D25" s="508" t="s">
        <v>482</v>
      </c>
      <c r="E25" s="508"/>
      <c r="F25" s="363"/>
      <c r="G25" s="371" t="str">
        <f>IF(G24&gt;0,"да","нет")</f>
        <v>нет</v>
      </c>
      <c r="O25" s="360"/>
    </row>
    <row r="26" spans="1:18">
      <c r="A26" s="355" t="s">
        <v>243</v>
      </c>
      <c r="B26" s="356">
        <v>0</v>
      </c>
      <c r="C26" s="358"/>
      <c r="D26" s="358"/>
      <c r="E26" s="358"/>
      <c r="F26" s="358"/>
      <c r="O26" s="360"/>
    </row>
    <row r="27" spans="1:18">
      <c r="A27" s="355" t="s">
        <v>263</v>
      </c>
      <c r="B27" s="366">
        <f>2022+5</f>
        <v>2027</v>
      </c>
      <c r="C27" s="367"/>
      <c r="D27" s="367"/>
      <c r="E27" s="367"/>
      <c r="F27" s="367"/>
    </row>
    <row r="28" spans="1:18">
      <c r="A28" s="355" t="s">
        <v>262</v>
      </c>
      <c r="B28" s="356">
        <v>1</v>
      </c>
      <c r="C28" s="358"/>
      <c r="D28" s="358"/>
      <c r="E28" s="358"/>
      <c r="F28" s="358"/>
    </row>
    <row r="29" spans="1:18">
      <c r="A29" s="372" t="s">
        <v>477</v>
      </c>
      <c r="B29" s="373"/>
      <c r="C29" s="358"/>
      <c r="D29" s="358"/>
      <c r="E29" s="358"/>
      <c r="F29" s="358"/>
    </row>
    <row r="30" spans="1:18" ht="16.5" thickBot="1">
      <c r="A30" s="361" t="s">
        <v>236</v>
      </c>
      <c r="B30" s="374">
        <v>0.2</v>
      </c>
      <c r="C30" s="375">
        <v>0.18</v>
      </c>
      <c r="D30" s="375"/>
      <c r="E30" s="375"/>
      <c r="F30" s="375"/>
    </row>
    <row r="31" spans="1:18">
      <c r="A31" s="352" t="s">
        <v>477</v>
      </c>
      <c r="B31" s="353">
        <v>0</v>
      </c>
      <c r="C31" s="358"/>
      <c r="D31" s="358"/>
      <c r="E31" s="358"/>
      <c r="F31" s="358"/>
    </row>
    <row r="32" spans="1:18">
      <c r="A32" s="355" t="s">
        <v>261</v>
      </c>
      <c r="B32" s="356">
        <v>0</v>
      </c>
      <c r="C32" s="358"/>
      <c r="D32" s="358"/>
      <c r="E32" s="358"/>
      <c r="F32" s="358"/>
    </row>
    <row r="33" spans="1:23" ht="16.5" thickBot="1">
      <c r="A33" s="372" t="s">
        <v>260</v>
      </c>
      <c r="B33" s="376">
        <v>0</v>
      </c>
      <c r="C33" s="377"/>
      <c r="D33" s="377"/>
      <c r="E33" s="377"/>
      <c r="F33" s="377"/>
    </row>
    <row r="34" spans="1:23">
      <c r="A34" s="378" t="s">
        <v>481</v>
      </c>
      <c r="B34" s="379">
        <v>1</v>
      </c>
      <c r="C34" s="358"/>
      <c r="D34" s="358"/>
      <c r="E34" s="358"/>
      <c r="F34" s="358"/>
    </row>
    <row r="35" spans="1:23">
      <c r="A35" s="380" t="s">
        <v>259</v>
      </c>
      <c r="B35" s="381">
        <v>0</v>
      </c>
      <c r="C35" s="375"/>
      <c r="D35" s="375"/>
      <c r="E35" s="375"/>
      <c r="F35" s="375"/>
    </row>
    <row r="36" spans="1:23">
      <c r="A36" s="380" t="s">
        <v>258</v>
      </c>
      <c r="B36" s="382">
        <v>0.12</v>
      </c>
      <c r="C36" s="375"/>
      <c r="D36" s="375"/>
      <c r="E36" s="375"/>
      <c r="F36" s="375"/>
    </row>
    <row r="37" spans="1:23">
      <c r="A37" s="380" t="s">
        <v>257</v>
      </c>
      <c r="B37" s="382">
        <v>0</v>
      </c>
      <c r="C37" s="375"/>
      <c r="D37" s="375"/>
      <c r="E37" s="375"/>
      <c r="F37" s="375"/>
    </row>
    <row r="38" spans="1:23">
      <c r="A38" s="380" t="s">
        <v>256</v>
      </c>
      <c r="B38" s="382">
        <v>0.12</v>
      </c>
      <c r="C38" s="375"/>
      <c r="D38" s="375"/>
      <c r="E38" s="375"/>
      <c r="F38" s="375"/>
    </row>
    <row r="39" spans="1:23">
      <c r="A39" s="380" t="s">
        <v>255</v>
      </c>
      <c r="B39" s="382">
        <v>1</v>
      </c>
      <c r="C39" s="375"/>
      <c r="D39" s="375"/>
      <c r="E39" s="375"/>
      <c r="F39" s="375"/>
    </row>
    <row r="40" spans="1:23" ht="23.25" customHeight="1" thickBot="1">
      <c r="A40" s="383" t="s">
        <v>480</v>
      </c>
      <c r="B40" s="384">
        <f>B39*B38+B37*B36*(1-B30)</f>
        <v>0.12</v>
      </c>
      <c r="C40" s="375"/>
      <c r="D40" s="375"/>
      <c r="E40" s="375"/>
      <c r="F40" s="375"/>
    </row>
    <row r="41" spans="1:23">
      <c r="A41" s="385" t="s">
        <v>254</v>
      </c>
      <c r="B41" s="386">
        <v>2021</v>
      </c>
      <c r="C41" s="387">
        <v>2022</v>
      </c>
      <c r="D41" s="386">
        <v>2023</v>
      </c>
      <c r="E41" s="386">
        <v>2024</v>
      </c>
      <c r="F41" s="387">
        <v>2025</v>
      </c>
      <c r="G41" s="386">
        <v>2026</v>
      </c>
      <c r="H41" s="386">
        <v>2027</v>
      </c>
      <c r="I41" s="387">
        <v>2028</v>
      </c>
      <c r="J41" s="386">
        <v>2029</v>
      </c>
      <c r="K41" s="386">
        <v>2030</v>
      </c>
    </row>
    <row r="42" spans="1:23" outlineLevel="1">
      <c r="A42" s="388" t="s">
        <v>253</v>
      </c>
      <c r="B42" s="389">
        <v>3.4210000000000074E-2</v>
      </c>
      <c r="C42" s="389">
        <v>4.0109999999999868E-2</v>
      </c>
      <c r="D42" s="389">
        <v>3.9950000000000152E-2</v>
      </c>
      <c r="E42" s="389">
        <v>3.9800000000000058E-2</v>
      </c>
      <c r="F42" s="389">
        <v>3.9889999999999981E-2</v>
      </c>
      <c r="G42" s="389">
        <v>3.7002927178679999E-2</v>
      </c>
      <c r="H42" s="389">
        <v>3.7002927178679999E-2</v>
      </c>
      <c r="I42" s="389">
        <v>2.5946576240230002E-2</v>
      </c>
      <c r="J42" s="389">
        <v>2.5946576240230002E-2</v>
      </c>
      <c r="K42" s="389">
        <v>2.5946576240230002E-2</v>
      </c>
    </row>
    <row r="43" spans="1:23" outlineLevel="1">
      <c r="A43" s="388" t="s">
        <v>252</v>
      </c>
      <c r="B43" s="389">
        <f>B42</f>
        <v>3.4210000000000074E-2</v>
      </c>
      <c r="C43" s="389">
        <f>(1+B43)*(1+C42)-1</f>
        <v>7.5692163100000043E-2</v>
      </c>
      <c r="D43" s="389">
        <f>(1+C43)*(1+D42)-1</f>
        <v>0.11866606501584531</v>
      </c>
      <c r="E43" s="389">
        <f t="shared" ref="E43:K43" si="0">(1+D43)*(1+E42)-1</f>
        <v>0.16318897440347602</v>
      </c>
      <c r="F43" s="389">
        <f t="shared" si="0"/>
        <v>0.20958858259243063</v>
      </c>
      <c r="G43" s="389">
        <f t="shared" si="0"/>
        <v>0.25434690083026124</v>
      </c>
      <c r="H43" s="389">
        <f>(1+G43)*(1+H42)-1</f>
        <v>0.30076140785848637</v>
      </c>
      <c r="I43" s="389">
        <f t="shared" si="0"/>
        <v>0.33451171289783543</v>
      </c>
      <c r="J43" s="389">
        <f t="shared" si="0"/>
        <v>0.369137722800019</v>
      </c>
      <c r="K43" s="390">
        <f t="shared" si="0"/>
        <v>0.40466215910802461</v>
      </c>
    </row>
    <row r="44" spans="1:23" s="334" customFormat="1" ht="16.5" thickBot="1">
      <c r="A44" s="391" t="s">
        <v>479</v>
      </c>
      <c r="B44" s="392">
        <f>[62]Доход_Свод!G5</f>
        <v>0</v>
      </c>
      <c r="C44" s="392">
        <v>0</v>
      </c>
      <c r="D44" s="392"/>
      <c r="E44" s="392">
        <v>0</v>
      </c>
      <c r="F44" s="392">
        <v>0</v>
      </c>
      <c r="G44" s="392">
        <v>0</v>
      </c>
      <c r="H44" s="392">
        <v>0</v>
      </c>
      <c r="I44" s="392">
        <v>0</v>
      </c>
      <c r="J44" s="392">
        <v>0</v>
      </c>
      <c r="K44" s="392">
        <v>0</v>
      </c>
    </row>
    <row r="45" spans="1:23" ht="16.5" thickBot="1"/>
    <row r="46" spans="1:23">
      <c r="A46" s="393" t="s">
        <v>251</v>
      </c>
      <c r="B46" s="386">
        <v>2021</v>
      </c>
      <c r="C46" s="387">
        <v>2022</v>
      </c>
      <c r="D46" s="386">
        <v>2023</v>
      </c>
      <c r="E46" s="386">
        <v>2024</v>
      </c>
      <c r="F46" s="387">
        <v>2025</v>
      </c>
      <c r="G46" s="386">
        <v>2026</v>
      </c>
      <c r="H46" s="386">
        <v>2027</v>
      </c>
      <c r="I46" s="387">
        <v>2028</v>
      </c>
      <c r="J46" s="386">
        <v>2029</v>
      </c>
      <c r="K46" s="386">
        <v>2030</v>
      </c>
      <c r="L46" s="394"/>
      <c r="M46" s="394"/>
      <c r="N46" s="394"/>
      <c r="O46" s="394"/>
      <c r="P46" s="394"/>
      <c r="Q46" s="394"/>
      <c r="R46" s="394"/>
      <c r="S46" s="394"/>
      <c r="T46" s="394"/>
      <c r="U46" s="394"/>
      <c r="V46" s="394"/>
      <c r="W46" s="394"/>
    </row>
    <row r="47" spans="1:23" ht="12" customHeight="1">
      <c r="A47" s="395" t="s">
        <v>250</v>
      </c>
      <c r="B47" s="396">
        <v>0</v>
      </c>
      <c r="C47" s="396">
        <f t="shared" ref="C47:K47" si="1">B47+B48-B49</f>
        <v>0</v>
      </c>
      <c r="D47" s="396">
        <f t="shared" si="1"/>
        <v>0</v>
      </c>
      <c r="E47" s="396">
        <f t="shared" si="1"/>
        <v>0</v>
      </c>
      <c r="F47" s="396">
        <f t="shared" si="1"/>
        <v>0</v>
      </c>
      <c r="G47" s="396">
        <f t="shared" si="1"/>
        <v>0</v>
      </c>
      <c r="H47" s="396">
        <f t="shared" si="1"/>
        <v>0</v>
      </c>
      <c r="I47" s="396">
        <f t="shared" si="1"/>
        <v>0</v>
      </c>
      <c r="J47" s="396">
        <f t="shared" si="1"/>
        <v>0</v>
      </c>
      <c r="K47" s="397">
        <f t="shared" si="1"/>
        <v>0</v>
      </c>
      <c r="L47" s="394"/>
      <c r="M47" s="394"/>
      <c r="N47" s="394"/>
      <c r="O47" s="394"/>
      <c r="P47" s="394"/>
      <c r="Q47" s="394"/>
      <c r="R47" s="394"/>
      <c r="S47" s="394"/>
      <c r="T47" s="394"/>
      <c r="U47" s="394"/>
      <c r="V47" s="394"/>
      <c r="W47" s="394"/>
    </row>
    <row r="48" spans="1:23" ht="12" customHeight="1">
      <c r="A48" s="395" t="s">
        <v>249</v>
      </c>
      <c r="B48" s="396">
        <v>0</v>
      </c>
      <c r="C48" s="396">
        <v>0</v>
      </c>
      <c r="D48" s="396">
        <v>0</v>
      </c>
      <c r="E48" s="396">
        <v>0</v>
      </c>
      <c r="F48" s="396">
        <v>0</v>
      </c>
      <c r="G48" s="396">
        <v>0</v>
      </c>
      <c r="H48" s="396">
        <v>0</v>
      </c>
      <c r="I48" s="396">
        <v>0</v>
      </c>
      <c r="J48" s="396">
        <v>0</v>
      </c>
      <c r="K48" s="397">
        <v>0</v>
      </c>
      <c r="L48" s="394"/>
      <c r="M48" s="394"/>
      <c r="N48" s="394"/>
      <c r="O48" s="394"/>
      <c r="P48" s="394"/>
      <c r="Q48" s="394"/>
      <c r="R48" s="394"/>
      <c r="S48" s="394"/>
      <c r="T48" s="394"/>
      <c r="U48" s="394"/>
      <c r="V48" s="394"/>
      <c r="W48" s="394"/>
    </row>
    <row r="49" spans="1:23" ht="12" customHeight="1">
      <c r="A49" s="388" t="s">
        <v>248</v>
      </c>
      <c r="B49" s="396">
        <f>$B$48/$B$34</f>
        <v>0</v>
      </c>
      <c r="C49" s="396">
        <f>IF(ROUND(C47,1)=0,0,B49+C48/$B$34)</f>
        <v>0</v>
      </c>
      <c r="D49" s="396">
        <f t="shared" ref="D49:J49" si="2">IF(ROUND(D47,1)=0,0,C49+D48/$B$34)</f>
        <v>0</v>
      </c>
      <c r="E49" s="396">
        <f t="shared" si="2"/>
        <v>0</v>
      </c>
      <c r="F49" s="396">
        <f t="shared" si="2"/>
        <v>0</v>
      </c>
      <c r="G49" s="396">
        <f t="shared" si="2"/>
        <v>0</v>
      </c>
      <c r="H49" s="396">
        <f t="shared" si="2"/>
        <v>0</v>
      </c>
      <c r="I49" s="396">
        <f t="shared" si="2"/>
        <v>0</v>
      </c>
      <c r="J49" s="396">
        <f t="shared" si="2"/>
        <v>0</v>
      </c>
      <c r="K49" s="397">
        <f>IF(ROUND(K47,1)=0,0,J49+K48/$B$34)</f>
        <v>0</v>
      </c>
      <c r="L49" s="394"/>
      <c r="M49" s="394"/>
      <c r="N49" s="394"/>
      <c r="O49" s="394"/>
      <c r="P49" s="394"/>
      <c r="Q49" s="394"/>
      <c r="R49" s="394"/>
      <c r="S49" s="394"/>
      <c r="T49" s="394"/>
      <c r="U49" s="394"/>
      <c r="V49" s="394"/>
      <c r="W49" s="394"/>
    </row>
    <row r="50" spans="1:23" ht="12" customHeight="1" thickBot="1">
      <c r="A50" s="391" t="s">
        <v>247</v>
      </c>
      <c r="B50" s="398">
        <f t="shared" ref="B50:K50" si="3">AVERAGE(SUM(B47:B48),(SUM(B47:B48)-B49))*$B$36</f>
        <v>0</v>
      </c>
      <c r="C50" s="398">
        <f t="shared" si="3"/>
        <v>0</v>
      </c>
      <c r="D50" s="398">
        <f t="shared" si="3"/>
        <v>0</v>
      </c>
      <c r="E50" s="398">
        <f t="shared" si="3"/>
        <v>0</v>
      </c>
      <c r="F50" s="398">
        <f t="shared" si="3"/>
        <v>0</v>
      </c>
      <c r="G50" s="398">
        <f t="shared" si="3"/>
        <v>0</v>
      </c>
      <c r="H50" s="398">
        <f t="shared" si="3"/>
        <v>0</v>
      </c>
      <c r="I50" s="398">
        <f t="shared" si="3"/>
        <v>0</v>
      </c>
      <c r="J50" s="398">
        <f t="shared" si="3"/>
        <v>0</v>
      </c>
      <c r="K50" s="399">
        <f t="shared" si="3"/>
        <v>0</v>
      </c>
      <c r="L50" s="394"/>
      <c r="M50" s="394"/>
      <c r="N50" s="394"/>
      <c r="O50" s="394"/>
      <c r="P50" s="394"/>
      <c r="Q50" s="394"/>
      <c r="R50" s="394"/>
      <c r="S50" s="394"/>
      <c r="T50" s="394"/>
      <c r="U50" s="394"/>
      <c r="V50" s="394"/>
      <c r="W50" s="394"/>
    </row>
    <row r="51" spans="1:23" ht="16.5" thickBot="1">
      <c r="A51" s="400"/>
      <c r="B51" s="401"/>
      <c r="C51" s="401"/>
      <c r="D51" s="401"/>
      <c r="E51" s="401"/>
      <c r="F51" s="401"/>
      <c r="G51" s="401"/>
      <c r="H51" s="401"/>
      <c r="I51" s="401"/>
      <c r="J51" s="401"/>
      <c r="K51" s="401"/>
      <c r="L51" s="394"/>
      <c r="M51" s="394"/>
      <c r="N51" s="394"/>
      <c r="O51" s="394"/>
      <c r="P51" s="394"/>
      <c r="Q51" s="394"/>
      <c r="R51" s="394"/>
      <c r="S51" s="394"/>
      <c r="T51" s="394"/>
      <c r="U51" s="394"/>
      <c r="V51" s="394"/>
      <c r="W51" s="394"/>
    </row>
    <row r="52" spans="1:23" s="402" customFormat="1">
      <c r="A52" s="393" t="s">
        <v>478</v>
      </c>
      <c r="B52" s="386">
        <v>2021</v>
      </c>
      <c r="C52" s="387">
        <v>2022</v>
      </c>
      <c r="D52" s="386">
        <v>2023</v>
      </c>
      <c r="E52" s="386">
        <v>2024</v>
      </c>
      <c r="F52" s="387">
        <v>2025</v>
      </c>
      <c r="G52" s="386">
        <v>2026</v>
      </c>
      <c r="H52" s="386">
        <v>2027</v>
      </c>
      <c r="I52" s="387">
        <v>2028</v>
      </c>
      <c r="J52" s="386">
        <v>2029</v>
      </c>
      <c r="K52" s="386">
        <v>2030</v>
      </c>
    </row>
    <row r="53" spans="1:23" s="334" customFormat="1" ht="14.25">
      <c r="A53" s="403" t="s">
        <v>246</v>
      </c>
      <c r="B53" s="404">
        <f>B44*$B$22</f>
        <v>0</v>
      </c>
      <c r="C53" s="404">
        <f t="shared" ref="C53:K53" si="4">C44*$B$22</f>
        <v>0</v>
      </c>
      <c r="D53" s="404">
        <f t="shared" si="4"/>
        <v>0</v>
      </c>
      <c r="E53" s="404">
        <f t="shared" si="4"/>
        <v>0</v>
      </c>
      <c r="F53" s="404">
        <f t="shared" si="4"/>
        <v>0</v>
      </c>
      <c r="G53" s="404">
        <f t="shared" si="4"/>
        <v>0</v>
      </c>
      <c r="H53" s="404">
        <f t="shared" si="4"/>
        <v>0</v>
      </c>
      <c r="I53" s="404">
        <f t="shared" si="4"/>
        <v>0</v>
      </c>
      <c r="J53" s="404">
        <f t="shared" si="4"/>
        <v>0</v>
      </c>
      <c r="K53" s="405">
        <f t="shared" si="4"/>
        <v>0</v>
      </c>
    </row>
    <row r="54" spans="1:23">
      <c r="A54" s="406" t="s">
        <v>245</v>
      </c>
      <c r="B54" s="407">
        <f>SUM(B55:B60)</f>
        <v>0</v>
      </c>
      <c r="C54" s="407">
        <f t="shared" ref="C54:K54" si="5">SUM(C55:C60)</f>
        <v>0</v>
      </c>
      <c r="D54" s="407">
        <f t="shared" si="5"/>
        <v>0</v>
      </c>
      <c r="E54" s="407">
        <f t="shared" si="5"/>
        <v>0</v>
      </c>
      <c r="F54" s="407">
        <f>SUM(F55:F60)</f>
        <v>0</v>
      </c>
      <c r="G54" s="407">
        <f t="shared" si="5"/>
        <v>0</v>
      </c>
      <c r="H54" s="407">
        <f t="shared" si="5"/>
        <v>0</v>
      </c>
      <c r="I54" s="407">
        <f>SUM(I55:I60)</f>
        <v>0</v>
      </c>
      <c r="J54" s="407">
        <f t="shared" si="5"/>
        <v>0</v>
      </c>
      <c r="K54" s="408">
        <f t="shared" si="5"/>
        <v>0</v>
      </c>
    </row>
    <row r="55" spans="1:23">
      <c r="A55" s="409" t="s">
        <v>244</v>
      </c>
      <c r="B55" s="410">
        <f t="shared" ref="B55:K55" si="6">-IF(B$41&lt;=$B$24,0,$B$23*(1+B$43)*$B$22)</f>
        <v>0</v>
      </c>
      <c r="C55" s="410">
        <f>-IF(C$41=$B$24,$B$23*(1+C$43)*$B$22,IF($B$24+$B$25=C$52,$B$23*$B$22*(1+C$43),IF($B$24+$B$25+$B$25=C$52,$B$23*$B$22*(1+C$43),0)))</f>
        <v>0</v>
      </c>
      <c r="D55" s="410">
        <f t="shared" ref="D55:F55" si="7">-IF(D$41=$B$24,$B$23*(1+D$43)*$B$22,IF($B$24+$B$25=D52,$B$23*$B$22*(1+D43),IF($B$24+$B$25+$B$25=D52,$B$23*$B$22*(1+D43),0)))</f>
        <v>0</v>
      </c>
      <c r="E55" s="410">
        <f t="shared" si="7"/>
        <v>0</v>
      </c>
      <c r="F55" s="410">
        <f t="shared" si="7"/>
        <v>0</v>
      </c>
      <c r="G55" s="410">
        <f>-IF(G$41=$B$24,$B$23*(1+G$43)*$B$22,IF($B$24+$B$25=G52,$B$23*$B$22*(1+G43),IF($B$24+$B$25+$B$25=G52,$B$23*$B$22*(1+G43),0)))</f>
        <v>0</v>
      </c>
      <c r="H55" s="410">
        <f>-IF(H$41=$B$24,$B$23*(1+H$43)*$B$22,IF($B$24+$B$25=H52,$B$23*$B$22*(1+H43),IF($B$24+$B$25+$B$25=H52,$B$23*$B$22*(1+H43),0)))</f>
        <v>0</v>
      </c>
      <c r="I55" s="410">
        <f>-IF(I$41=$B$24,$B$23*(1+I$43)*$B$22,IF($B$24+$B$25=I52,$B$23*$B$22*(1+I43),IF($B$24+$B$25+$B$25=I52,$B$23*$B$22*(1+I43),0)))</f>
        <v>0</v>
      </c>
      <c r="J55" s="410">
        <f>-IF(J$41=$B$24,$B$23*(1+J$43)*$B$22,IF($B$24+$B$25=J52,$B$23*$B$22*(1+J43),IF($B$24+$B$25+$B$25=J52,$B$23*$B$22*(1+J43),0)))</f>
        <v>0</v>
      </c>
      <c r="K55" s="411">
        <f t="shared" si="6"/>
        <v>0</v>
      </c>
      <c r="L55" s="343">
        <f>IF($B$24+$B$25+$B$25=G52,$B$23*$B$22*(1+G43),0)</f>
        <v>0</v>
      </c>
    </row>
    <row r="56" spans="1:23">
      <c r="A56" s="409" t="str">
        <f>A26</f>
        <v>Прочие расходы при эксплуатации объекта, руб. без НДС</v>
      </c>
      <c r="B56" s="410">
        <f t="shared" ref="B56:K56" si="8">-IF(B$41&lt;=$B$27,0,$B$26*(1+B$43)*$B$22)</f>
        <v>0</v>
      </c>
      <c r="C56" s="410">
        <f>IF($B$28=1,-IF(C$41&lt;=$B$27,0,$B$26*(1+C$43)*$B$22),-IF(C$41=$B$27,$B$26*(1+C$43)*$B$22,IF($B$27+$B$28=C$52,$B$26*$B$22*(1+C$43),IF($B$27+$B$28+$B$28=C$52,$B$26*$B$22*(1+C$43),0))))</f>
        <v>0</v>
      </c>
      <c r="D56" s="410">
        <f t="shared" ref="D56:J56" si="9">IF($B$28=1,-IF(D$41&lt;=$B$27,0,$B$26*(1+D$43)*$B$22),-IF(D$41=$B$27,$B$26*(1+D$43)*$B$22,IF($B$27+$B$28=D$52,$B$26*$B$22*(1+D$43),IF($B$27+$B$28+$B$28=D$52,$B$26*$B$22*(1+D$43),0))))</f>
        <v>0</v>
      </c>
      <c r="E56" s="410">
        <f t="shared" si="9"/>
        <v>0</v>
      </c>
      <c r="F56" s="410">
        <f t="shared" si="9"/>
        <v>0</v>
      </c>
      <c r="G56" s="410">
        <f t="shared" si="9"/>
        <v>0</v>
      </c>
      <c r="H56" s="410">
        <f t="shared" si="9"/>
        <v>0</v>
      </c>
      <c r="I56" s="410">
        <f t="shared" si="9"/>
        <v>0</v>
      </c>
      <c r="J56" s="410">
        <f t="shared" si="9"/>
        <v>0</v>
      </c>
      <c r="K56" s="411">
        <f t="shared" si="8"/>
        <v>0</v>
      </c>
    </row>
    <row r="57" spans="1:23" hidden="1">
      <c r="A57" s="409" t="s">
        <v>477</v>
      </c>
      <c r="B57" s="410">
        <f t="shared" ref="B57:K57" si="10">-IF(B$41&lt;=$B$24,0,$B$29*(1+B$43)*$B$22)</f>
        <v>0</v>
      </c>
      <c r="C57" s="410">
        <f t="shared" si="10"/>
        <v>0</v>
      </c>
      <c r="D57" s="410">
        <f t="shared" si="10"/>
        <v>0</v>
      </c>
      <c r="E57" s="410">
        <f t="shared" si="10"/>
        <v>0</v>
      </c>
      <c r="F57" s="410">
        <f t="shared" si="10"/>
        <v>0</v>
      </c>
      <c r="G57" s="410">
        <f t="shared" si="10"/>
        <v>0</v>
      </c>
      <c r="H57" s="410">
        <f t="shared" si="10"/>
        <v>0</v>
      </c>
      <c r="I57" s="410">
        <f t="shared" si="10"/>
        <v>0</v>
      </c>
      <c r="J57" s="410">
        <f t="shared" si="10"/>
        <v>0</v>
      </c>
      <c r="K57" s="411">
        <f t="shared" si="10"/>
        <v>0</v>
      </c>
    </row>
    <row r="58" spans="1:23" hidden="1">
      <c r="A58" s="409" t="s">
        <v>477</v>
      </c>
      <c r="B58" s="410">
        <f t="shared" ref="B58:K58" si="11">-$B$31*(1+B$43)*$B$22*365</f>
        <v>0</v>
      </c>
      <c r="C58" s="410">
        <f t="shared" si="11"/>
        <v>0</v>
      </c>
      <c r="D58" s="410">
        <f t="shared" si="11"/>
        <v>0</v>
      </c>
      <c r="E58" s="410">
        <f t="shared" si="11"/>
        <v>0</v>
      </c>
      <c r="F58" s="410">
        <f t="shared" si="11"/>
        <v>0</v>
      </c>
      <c r="G58" s="410">
        <f t="shared" si="11"/>
        <v>0</v>
      </c>
      <c r="H58" s="410">
        <f t="shared" si="11"/>
        <v>0</v>
      </c>
      <c r="I58" s="410">
        <f t="shared" si="11"/>
        <v>0</v>
      </c>
      <c r="J58" s="410">
        <f t="shared" si="11"/>
        <v>0</v>
      </c>
      <c r="K58" s="411">
        <f t="shared" si="11"/>
        <v>0</v>
      </c>
    </row>
    <row r="59" spans="1:23" hidden="1">
      <c r="A59" s="409" t="s">
        <v>477</v>
      </c>
      <c r="B59" s="410">
        <f t="shared" ref="B59:K59" si="12">-$B$32*(1+B$43)*12</f>
        <v>0</v>
      </c>
      <c r="C59" s="410">
        <f t="shared" si="12"/>
        <v>0</v>
      </c>
      <c r="D59" s="410">
        <f t="shared" si="12"/>
        <v>0</v>
      </c>
      <c r="E59" s="410">
        <f t="shared" si="12"/>
        <v>0</v>
      </c>
      <c r="F59" s="410">
        <f t="shared" si="12"/>
        <v>0</v>
      </c>
      <c r="G59" s="410">
        <f t="shared" si="12"/>
        <v>0</v>
      </c>
      <c r="H59" s="410">
        <f t="shared" si="12"/>
        <v>0</v>
      </c>
      <c r="I59" s="410">
        <f t="shared" si="12"/>
        <v>0</v>
      </c>
      <c r="J59" s="410">
        <f t="shared" si="12"/>
        <v>0</v>
      </c>
      <c r="K59" s="411">
        <f t="shared" si="12"/>
        <v>0</v>
      </c>
    </row>
    <row r="60" spans="1:23">
      <c r="A60" s="409" t="s">
        <v>242</v>
      </c>
      <c r="B60" s="410">
        <v>0</v>
      </c>
      <c r="C60" s="410">
        <v>0</v>
      </c>
      <c r="D60" s="410">
        <f>-(($B$19+$B$20+B62+C62)*$B$22)*1%</f>
        <v>0</v>
      </c>
      <c r="E60" s="410">
        <f t="shared" ref="E60" si="13">-(($B$19+$B$20+B62+C62+D62)*$B$22)*1%</f>
        <v>0</v>
      </c>
      <c r="F60" s="410">
        <f>-(($B$19+$B$20+C62+D62+E62)*$B$22)*1%</f>
        <v>0</v>
      </c>
      <c r="G60" s="410">
        <f>-(($B$19+$B$20+D62+E62+F62)*$B$22)*1%</f>
        <v>0</v>
      </c>
      <c r="H60" s="410">
        <f>-(($B$19+$B$20+D62+E62+F62+G62)*$B$22)*1%</f>
        <v>0</v>
      </c>
      <c r="I60" s="410">
        <f>-(($B$19+$B$20+D62+E62+F62+G62+H62)*$B$22)*1%</f>
        <v>0</v>
      </c>
      <c r="J60" s="410">
        <f>-(($B$19+$B$20+D62+E62+F62+G62+H62+I62)*$B$22)*1%</f>
        <v>0</v>
      </c>
      <c r="K60" s="410">
        <f>-(($B$19+$B$20+D62+E62+F62+G62+H62+I62+J62)*$B$22)*1%</f>
        <v>0</v>
      </c>
    </row>
    <row r="61" spans="1:23" s="334" customFormat="1" ht="14.25">
      <c r="A61" s="412" t="s">
        <v>476</v>
      </c>
      <c r="B61" s="404">
        <f>B53+B54</f>
        <v>0</v>
      </c>
      <c r="C61" s="404">
        <f t="shared" ref="C61:K61" si="14">C53+C54</f>
        <v>0</v>
      </c>
      <c r="D61" s="404">
        <f t="shared" si="14"/>
        <v>0</v>
      </c>
      <c r="E61" s="404">
        <f t="shared" si="14"/>
        <v>0</v>
      </c>
      <c r="F61" s="404">
        <f t="shared" si="14"/>
        <v>0</v>
      </c>
      <c r="G61" s="404">
        <f t="shared" si="14"/>
        <v>0</v>
      </c>
      <c r="H61" s="404">
        <f t="shared" si="14"/>
        <v>0</v>
      </c>
      <c r="I61" s="404">
        <f t="shared" si="14"/>
        <v>0</v>
      </c>
      <c r="J61" s="404">
        <f t="shared" si="14"/>
        <v>0</v>
      </c>
      <c r="K61" s="405">
        <f t="shared" si="14"/>
        <v>0</v>
      </c>
    </row>
    <row r="62" spans="1:23">
      <c r="A62" s="409" t="s">
        <v>238</v>
      </c>
      <c r="B62" s="410">
        <v>0</v>
      </c>
      <c r="C62" s="410">
        <v>0</v>
      </c>
      <c r="D62" s="410">
        <f t="shared" ref="D62:H62" si="15">-($B$19+$B$20)*$B$22/$B$21</f>
        <v>0</v>
      </c>
      <c r="E62" s="410">
        <f t="shared" si="15"/>
        <v>0</v>
      </c>
      <c r="F62" s="410">
        <f t="shared" si="15"/>
        <v>0</v>
      </c>
      <c r="G62" s="410">
        <f t="shared" si="15"/>
        <v>0</v>
      </c>
      <c r="H62" s="410">
        <f t="shared" si="15"/>
        <v>0</v>
      </c>
      <c r="I62" s="410">
        <f t="shared" ref="I62:K62" si="16">H62</f>
        <v>0</v>
      </c>
      <c r="J62" s="410">
        <f t="shared" si="16"/>
        <v>0</v>
      </c>
      <c r="K62" s="411">
        <f t="shared" si="16"/>
        <v>0</v>
      </c>
      <c r="L62" s="343">
        <f>IF(C62&gt;0,11,C62*-1)</f>
        <v>0</v>
      </c>
    </row>
    <row r="63" spans="1:23" s="334" customFormat="1" ht="14.25">
      <c r="A63" s="412" t="s">
        <v>475</v>
      </c>
      <c r="B63" s="404">
        <f>B61+B62</f>
        <v>0</v>
      </c>
      <c r="C63" s="404">
        <f t="shared" ref="C63:K63" si="17">C61+C62</f>
        <v>0</v>
      </c>
      <c r="D63" s="404">
        <f t="shared" si="17"/>
        <v>0</v>
      </c>
      <c r="E63" s="404">
        <f>E61+E62</f>
        <v>0</v>
      </c>
      <c r="F63" s="404">
        <f>F61+F62</f>
        <v>0</v>
      </c>
      <c r="G63" s="404">
        <f t="shared" si="17"/>
        <v>0</v>
      </c>
      <c r="H63" s="404">
        <f t="shared" si="17"/>
        <v>0</v>
      </c>
      <c r="I63" s="404">
        <f>I61+I62</f>
        <v>0</v>
      </c>
      <c r="J63" s="404">
        <f t="shared" si="17"/>
        <v>0</v>
      </c>
      <c r="K63" s="405">
        <f t="shared" si="17"/>
        <v>0</v>
      </c>
    </row>
    <row r="64" spans="1:23">
      <c r="A64" s="409" t="s">
        <v>237</v>
      </c>
      <c r="B64" s="410">
        <f t="shared" ref="B64:K64" si="18">-B50</f>
        <v>0</v>
      </c>
      <c r="C64" s="410">
        <f t="shared" si="18"/>
        <v>0</v>
      </c>
      <c r="D64" s="410">
        <f t="shared" si="18"/>
        <v>0</v>
      </c>
      <c r="E64" s="410">
        <f t="shared" si="18"/>
        <v>0</v>
      </c>
      <c r="F64" s="410">
        <f t="shared" si="18"/>
        <v>0</v>
      </c>
      <c r="G64" s="410">
        <f t="shared" si="18"/>
        <v>0</v>
      </c>
      <c r="H64" s="410">
        <f t="shared" si="18"/>
        <v>0</v>
      </c>
      <c r="I64" s="410">
        <f t="shared" si="18"/>
        <v>0</v>
      </c>
      <c r="J64" s="410">
        <f t="shared" si="18"/>
        <v>0</v>
      </c>
      <c r="K64" s="411">
        <f t="shared" si="18"/>
        <v>0</v>
      </c>
      <c r="M64" s="413">
        <f>C65-D19</f>
        <v>0</v>
      </c>
    </row>
    <row r="65" spans="1:23" s="334" customFormat="1" ht="14.25">
      <c r="A65" s="412" t="s">
        <v>241</v>
      </c>
      <c r="B65" s="404">
        <f>B63+B64</f>
        <v>0</v>
      </c>
      <c r="C65" s="404">
        <f t="shared" ref="C65:K65" si="19">C63+C64</f>
        <v>0</v>
      </c>
      <c r="D65" s="404">
        <f t="shared" si="19"/>
        <v>0</v>
      </c>
      <c r="E65" s="404">
        <f t="shared" si="19"/>
        <v>0</v>
      </c>
      <c r="F65" s="404">
        <f t="shared" si="19"/>
        <v>0</v>
      </c>
      <c r="G65" s="404">
        <f t="shared" si="19"/>
        <v>0</v>
      </c>
      <c r="H65" s="404">
        <f t="shared" si="19"/>
        <v>0</v>
      </c>
      <c r="I65" s="404">
        <f t="shared" si="19"/>
        <v>0</v>
      </c>
      <c r="J65" s="404">
        <f t="shared" si="19"/>
        <v>0</v>
      </c>
      <c r="K65" s="405">
        <f t="shared" si="19"/>
        <v>0</v>
      </c>
      <c r="M65" s="414">
        <f>M64*C30</f>
        <v>0</v>
      </c>
    </row>
    <row r="66" spans="1:23">
      <c r="A66" s="409" t="s">
        <v>236</v>
      </c>
      <c r="B66" s="410">
        <f t="shared" ref="B66:K66" si="20">IF((B65-(C19+C20))*$B$30&gt;0,-(B65-(C20+C19))*$B$30,0)</f>
        <v>0</v>
      </c>
      <c r="C66" s="410">
        <f>IF((C65-(D19+D20))*$C$30&gt;0,-(C65-(D20+D19))*$C$30,0)</f>
        <v>0</v>
      </c>
      <c r="D66" s="410">
        <f t="shared" si="20"/>
        <v>0</v>
      </c>
      <c r="E66" s="410">
        <f t="shared" si="20"/>
        <v>0</v>
      </c>
      <c r="F66" s="410">
        <f t="shared" si="20"/>
        <v>0</v>
      </c>
      <c r="G66" s="410">
        <f t="shared" si="20"/>
        <v>0</v>
      </c>
      <c r="H66" s="410">
        <f t="shared" si="20"/>
        <v>0</v>
      </c>
      <c r="I66" s="410">
        <f t="shared" si="20"/>
        <v>0</v>
      </c>
      <c r="J66" s="410">
        <f t="shared" si="20"/>
        <v>0</v>
      </c>
      <c r="K66" s="410">
        <f t="shared" si="20"/>
        <v>0</v>
      </c>
    </row>
    <row r="67" spans="1:23" ht="16.5" thickBot="1">
      <c r="A67" s="415" t="s">
        <v>240</v>
      </c>
      <c r="B67" s="416">
        <f t="shared" ref="B67:K67" si="21">B65+B66</f>
        <v>0</v>
      </c>
      <c r="C67" s="416">
        <f t="shared" si="21"/>
        <v>0</v>
      </c>
      <c r="D67" s="416">
        <f t="shared" si="21"/>
        <v>0</v>
      </c>
      <c r="E67" s="416">
        <f t="shared" si="21"/>
        <v>0</v>
      </c>
      <c r="F67" s="416">
        <f t="shared" si="21"/>
        <v>0</v>
      </c>
      <c r="G67" s="416">
        <f t="shared" si="21"/>
        <v>0</v>
      </c>
      <c r="H67" s="416">
        <f t="shared" si="21"/>
        <v>0</v>
      </c>
      <c r="I67" s="416">
        <f t="shared" si="21"/>
        <v>0</v>
      </c>
      <c r="J67" s="416">
        <f t="shared" si="21"/>
        <v>0</v>
      </c>
      <c r="K67" s="417">
        <f t="shared" si="21"/>
        <v>0</v>
      </c>
    </row>
    <row r="68" spans="1:23" ht="16.5" thickBot="1">
      <c r="A68" s="402"/>
      <c r="B68" s="418">
        <v>0</v>
      </c>
      <c r="C68" s="418">
        <v>1</v>
      </c>
      <c r="D68" s="418">
        <v>2</v>
      </c>
      <c r="E68" s="418">
        <v>3</v>
      </c>
      <c r="F68" s="418">
        <v>4</v>
      </c>
      <c r="G68" s="418">
        <v>5</v>
      </c>
      <c r="H68" s="418">
        <v>6</v>
      </c>
      <c r="I68" s="418">
        <v>7</v>
      </c>
      <c r="J68" s="418">
        <v>8</v>
      </c>
      <c r="K68" s="418">
        <v>9</v>
      </c>
      <c r="L68" s="394">
        <v>10</v>
      </c>
      <c r="M68" s="394">
        <v>5</v>
      </c>
      <c r="N68" s="394"/>
      <c r="O68" s="394"/>
      <c r="P68" s="394"/>
      <c r="Q68" s="394"/>
      <c r="R68" s="394"/>
      <c r="S68" s="394"/>
      <c r="T68" s="394"/>
      <c r="U68" s="394"/>
      <c r="V68" s="394"/>
      <c r="W68" s="394"/>
    </row>
    <row r="69" spans="1:23">
      <c r="A69" s="393" t="s">
        <v>239</v>
      </c>
      <c r="B69" s="386">
        <v>2021</v>
      </c>
      <c r="C69" s="387">
        <v>2022</v>
      </c>
      <c r="D69" s="386">
        <v>2023</v>
      </c>
      <c r="E69" s="386">
        <v>2024</v>
      </c>
      <c r="F69" s="387">
        <v>2025</v>
      </c>
      <c r="G69" s="386">
        <v>2026</v>
      </c>
      <c r="H69" s="386">
        <v>2027</v>
      </c>
      <c r="I69" s="387">
        <v>2028</v>
      </c>
      <c r="J69" s="386">
        <v>2029</v>
      </c>
      <c r="K69" s="386">
        <v>2030</v>
      </c>
      <c r="L69" s="394">
        <v>2027</v>
      </c>
      <c r="M69" s="394"/>
      <c r="N69" s="394"/>
      <c r="O69" s="394"/>
      <c r="P69" s="394"/>
      <c r="Q69" s="394"/>
      <c r="R69" s="394"/>
      <c r="S69" s="394"/>
      <c r="T69" s="394"/>
      <c r="U69" s="394"/>
      <c r="V69" s="394"/>
      <c r="W69" s="394"/>
    </row>
    <row r="70" spans="1:23" s="334" customFormat="1" ht="14.25">
      <c r="A70" s="403" t="s">
        <v>475</v>
      </c>
      <c r="B70" s="404">
        <f>B63</f>
        <v>0</v>
      </c>
      <c r="C70" s="404">
        <f t="shared" ref="C70:K70" si="22">C63</f>
        <v>0</v>
      </c>
      <c r="D70" s="404">
        <f t="shared" si="22"/>
        <v>0</v>
      </c>
      <c r="E70" s="404">
        <f t="shared" si="22"/>
        <v>0</v>
      </c>
      <c r="F70" s="404">
        <f t="shared" si="22"/>
        <v>0</v>
      </c>
      <c r="G70" s="404">
        <f t="shared" si="22"/>
        <v>0</v>
      </c>
      <c r="H70" s="404">
        <f t="shared" si="22"/>
        <v>0</v>
      </c>
      <c r="I70" s="404">
        <f t="shared" si="22"/>
        <v>0</v>
      </c>
      <c r="J70" s="404">
        <f t="shared" si="22"/>
        <v>0</v>
      </c>
      <c r="K70" s="405">
        <f t="shared" si="22"/>
        <v>0</v>
      </c>
      <c r="L70" s="419"/>
      <c r="M70" s="419"/>
      <c r="N70" s="419"/>
      <c r="O70" s="419"/>
      <c r="P70" s="419"/>
      <c r="Q70" s="419"/>
      <c r="R70" s="419"/>
      <c r="S70" s="419"/>
      <c r="T70" s="419"/>
      <c r="U70" s="419"/>
      <c r="V70" s="419"/>
      <c r="W70" s="419"/>
    </row>
    <row r="71" spans="1:23">
      <c r="A71" s="409" t="s">
        <v>238</v>
      </c>
      <c r="B71" s="410">
        <f>-B62</f>
        <v>0</v>
      </c>
      <c r="C71" s="410">
        <f t="shared" ref="C71:K71" si="23">-C62</f>
        <v>0</v>
      </c>
      <c r="D71" s="410">
        <f t="shared" si="23"/>
        <v>0</v>
      </c>
      <c r="E71" s="410">
        <f t="shared" si="23"/>
        <v>0</v>
      </c>
      <c r="F71" s="410">
        <f t="shared" si="23"/>
        <v>0</v>
      </c>
      <c r="G71" s="410">
        <f t="shared" si="23"/>
        <v>0</v>
      </c>
      <c r="H71" s="410">
        <f t="shared" si="23"/>
        <v>0</v>
      </c>
      <c r="I71" s="410">
        <f t="shared" si="23"/>
        <v>0</v>
      </c>
      <c r="J71" s="410">
        <f t="shared" si="23"/>
        <v>0</v>
      </c>
      <c r="K71" s="410">
        <f t="shared" si="23"/>
        <v>0</v>
      </c>
      <c r="L71" s="394"/>
      <c r="M71" s="394"/>
      <c r="N71" s="394"/>
      <c r="O71" s="394"/>
      <c r="P71" s="394"/>
      <c r="Q71" s="394"/>
      <c r="R71" s="394"/>
      <c r="S71" s="394"/>
      <c r="T71" s="394"/>
      <c r="U71" s="394"/>
      <c r="V71" s="394"/>
      <c r="W71" s="394"/>
    </row>
    <row r="72" spans="1:23" ht="10.5" customHeight="1">
      <c r="A72" s="409" t="s">
        <v>237</v>
      </c>
      <c r="B72" s="410">
        <f>B64</f>
        <v>0</v>
      </c>
      <c r="C72" s="410">
        <f t="shared" ref="C72:K72" si="24">C64</f>
        <v>0</v>
      </c>
      <c r="D72" s="410">
        <f t="shared" si="24"/>
        <v>0</v>
      </c>
      <c r="E72" s="410">
        <f t="shared" si="24"/>
        <v>0</v>
      </c>
      <c r="F72" s="410">
        <f t="shared" si="24"/>
        <v>0</v>
      </c>
      <c r="G72" s="410">
        <f t="shared" si="24"/>
        <v>0</v>
      </c>
      <c r="H72" s="410">
        <f t="shared" si="24"/>
        <v>0</v>
      </c>
      <c r="I72" s="410">
        <f t="shared" si="24"/>
        <v>0</v>
      </c>
      <c r="J72" s="410">
        <f t="shared" si="24"/>
        <v>0</v>
      </c>
      <c r="K72" s="411">
        <f t="shared" si="24"/>
        <v>0</v>
      </c>
      <c r="L72" s="394"/>
      <c r="M72" s="394"/>
      <c r="N72" s="394"/>
      <c r="O72" s="394"/>
      <c r="P72" s="394"/>
      <c r="Q72" s="394"/>
      <c r="R72" s="394"/>
      <c r="S72" s="394"/>
      <c r="T72" s="394"/>
      <c r="U72" s="394"/>
      <c r="V72" s="394"/>
      <c r="W72" s="394"/>
    </row>
    <row r="73" spans="1:23">
      <c r="A73" s="409" t="s">
        <v>236</v>
      </c>
      <c r="B73" s="410">
        <f>IF(SUM($B$66:B66)+SUM($A$73:A73)&gt;0,0,SUM($B$66:B66)-SUM($A$73:A73))</f>
        <v>0</v>
      </c>
      <c r="C73" s="410">
        <f>IF(SUM($B$66:C66)+SUM($A$73:B73)&gt;0,0,SUM($B$66:C66)-SUM($A$73:B73))</f>
        <v>0</v>
      </c>
      <c r="D73" s="410">
        <f>IF(SUM($B$66:D66)+SUM($A$73:C73)&gt;0,0,SUM($B$66:D66)-SUM($A$73:C73))</f>
        <v>0</v>
      </c>
      <c r="E73" s="410">
        <f>IF(SUM($B$66:E66)+SUM($A$73:D73)&gt;0,0,SUM($B$66:E66)-SUM($A$73:D73))</f>
        <v>0</v>
      </c>
      <c r="F73" s="410">
        <f>IF(SUM($B$66:F66)+SUM($A$73:E73)&gt;0,0,SUM($B$66:F66)-SUM($A$73:E73))</f>
        <v>0</v>
      </c>
      <c r="G73" s="410">
        <f>IF(SUM($B$66:G66)+SUM($A$73:F73)&gt;0,0,SUM($B$66:G66)-SUM($A$73:F73))</f>
        <v>0</v>
      </c>
      <c r="H73" s="410">
        <f>IF(SUM($B$66:H66)+SUM($A$73:G73)&gt;0,0,SUM($B$66:H66)-SUM($A$73:G73))</f>
        <v>0</v>
      </c>
      <c r="I73" s="410">
        <f>IF(SUM($B$66:I66)+SUM($A$73:H73)&gt;0,0,SUM($B$66:I66)-SUM($A$73:H73))</f>
        <v>0</v>
      </c>
      <c r="J73" s="410">
        <f>IF(SUM($B$66:J66)+SUM($A$73:I73)&gt;0,0,SUM($B$66:J66)-SUM($A$73:I73))</f>
        <v>0</v>
      </c>
      <c r="K73" s="411">
        <f>IF(SUM($B$66:K66)+SUM($A$73:J73)&gt;0,0,SUM($B$66:K66)-SUM($A$73:J73))</f>
        <v>0</v>
      </c>
      <c r="L73" s="394"/>
      <c r="M73" s="394"/>
      <c r="N73" s="394"/>
      <c r="O73" s="394"/>
      <c r="P73" s="394"/>
      <c r="Q73" s="394"/>
      <c r="R73" s="394"/>
      <c r="S73" s="394"/>
      <c r="T73" s="394"/>
      <c r="U73" s="394"/>
      <c r="V73" s="394"/>
      <c r="W73" s="394"/>
    </row>
    <row r="74" spans="1:23">
      <c r="A74" s="409" t="s">
        <v>235</v>
      </c>
      <c r="B74" s="420">
        <f t="shared" ref="B74:C74" si="25">IF((B53+B54+B76)&lt;0,0,-(B53+B54+B76)*0.18)</f>
        <v>0</v>
      </c>
      <c r="C74" s="420">
        <f t="shared" si="25"/>
        <v>0</v>
      </c>
      <c r="D74" s="420">
        <f t="shared" ref="D74:K74" si="26">IF((D53+D54+D76)&lt;0,0,-(D53+D54+D76)*0.2)</f>
        <v>0</v>
      </c>
      <c r="E74" s="420">
        <f t="shared" si="26"/>
        <v>0</v>
      </c>
      <c r="F74" s="420">
        <f t="shared" si="26"/>
        <v>0</v>
      </c>
      <c r="G74" s="420">
        <f t="shared" si="26"/>
        <v>0</v>
      </c>
      <c r="H74" s="420">
        <f t="shared" si="26"/>
        <v>0</v>
      </c>
      <c r="I74" s="420">
        <f t="shared" si="26"/>
        <v>0</v>
      </c>
      <c r="J74" s="420">
        <f t="shared" si="26"/>
        <v>0</v>
      </c>
      <c r="K74" s="420">
        <f t="shared" si="26"/>
        <v>0</v>
      </c>
      <c r="L74" s="421"/>
      <c r="M74" s="394"/>
      <c r="N74" s="394"/>
      <c r="O74" s="394"/>
      <c r="P74" s="394"/>
      <c r="Q74" s="394"/>
      <c r="R74" s="394"/>
      <c r="S74" s="394"/>
      <c r="T74" s="394"/>
      <c r="U74" s="394"/>
      <c r="V74" s="394"/>
      <c r="W74" s="394"/>
    </row>
    <row r="75" spans="1:23">
      <c r="A75" s="409" t="s">
        <v>234</v>
      </c>
      <c r="B75" s="410">
        <f>-(B53-B19)*(B33)</f>
        <v>0</v>
      </c>
      <c r="C75" s="410">
        <f>-(C53-B53+B19)*$B$33</f>
        <v>0</v>
      </c>
      <c r="D75" s="410">
        <f t="shared" ref="D75:K75" si="27">-(D53-C53)*$B$33</f>
        <v>0</v>
      </c>
      <c r="E75" s="410">
        <f t="shared" si="27"/>
        <v>0</v>
      </c>
      <c r="F75" s="410">
        <f t="shared" si="27"/>
        <v>0</v>
      </c>
      <c r="G75" s="410">
        <f t="shared" si="27"/>
        <v>0</v>
      </c>
      <c r="H75" s="410">
        <f t="shared" si="27"/>
        <v>0</v>
      </c>
      <c r="I75" s="410">
        <f t="shared" si="27"/>
        <v>0</v>
      </c>
      <c r="J75" s="410">
        <f t="shared" si="27"/>
        <v>0</v>
      </c>
      <c r="K75" s="411">
        <f t="shared" si="27"/>
        <v>0</v>
      </c>
      <c r="L75" s="394"/>
      <c r="M75" s="394"/>
      <c r="N75" s="394"/>
      <c r="O75" s="394"/>
      <c r="P75" s="394"/>
      <c r="Q75" s="394"/>
      <c r="R75" s="394"/>
      <c r="S75" s="394"/>
      <c r="T75" s="394"/>
      <c r="U75" s="394"/>
      <c r="V75" s="394"/>
      <c r="W75" s="394"/>
    </row>
    <row r="76" spans="1:23">
      <c r="A76" s="409" t="s">
        <v>233</v>
      </c>
      <c r="B76" s="410">
        <f t="shared" ref="B76:G76" si="28">-C19</f>
        <v>0</v>
      </c>
      <c r="C76" s="410">
        <f t="shared" si="28"/>
        <v>0</v>
      </c>
      <c r="D76" s="410">
        <f t="shared" si="28"/>
        <v>0</v>
      </c>
      <c r="E76" s="410">
        <f t="shared" si="28"/>
        <v>0</v>
      </c>
      <c r="F76" s="410">
        <f t="shared" si="28"/>
        <v>0</v>
      </c>
      <c r="G76" s="410">
        <f t="shared" si="28"/>
        <v>0</v>
      </c>
      <c r="H76" s="410">
        <v>0</v>
      </c>
      <c r="I76" s="410">
        <v>0</v>
      </c>
      <c r="J76" s="410">
        <v>0</v>
      </c>
      <c r="K76" s="411">
        <v>0</v>
      </c>
    </row>
    <row r="77" spans="1:23">
      <c r="A77" s="409" t="s">
        <v>232</v>
      </c>
      <c r="B77" s="410">
        <f t="shared" ref="B77:K77" si="29">B48-B49</f>
        <v>0</v>
      </c>
      <c r="C77" s="410">
        <f t="shared" si="29"/>
        <v>0</v>
      </c>
      <c r="D77" s="410">
        <f t="shared" si="29"/>
        <v>0</v>
      </c>
      <c r="E77" s="410">
        <f t="shared" si="29"/>
        <v>0</v>
      </c>
      <c r="F77" s="410">
        <f t="shared" si="29"/>
        <v>0</v>
      </c>
      <c r="G77" s="410">
        <f t="shared" si="29"/>
        <v>0</v>
      </c>
      <c r="H77" s="410">
        <f t="shared" si="29"/>
        <v>0</v>
      </c>
      <c r="I77" s="410">
        <f t="shared" si="29"/>
        <v>0</v>
      </c>
      <c r="J77" s="410">
        <f t="shared" si="29"/>
        <v>0</v>
      </c>
      <c r="K77" s="411">
        <f t="shared" si="29"/>
        <v>0</v>
      </c>
    </row>
    <row r="78" spans="1:23" s="334" customFormat="1" ht="14.25">
      <c r="A78" s="422" t="s">
        <v>231</v>
      </c>
      <c r="B78" s="404">
        <f>SUM(B70:B77)</f>
        <v>0</v>
      </c>
      <c r="C78" s="404">
        <f t="shared" ref="C78:K78" si="30">SUM(C70:C77)</f>
        <v>0</v>
      </c>
      <c r="D78" s="404">
        <f t="shared" si="30"/>
        <v>0</v>
      </c>
      <c r="E78" s="404">
        <f t="shared" si="30"/>
        <v>0</v>
      </c>
      <c r="F78" s="404">
        <f t="shared" si="30"/>
        <v>0</v>
      </c>
      <c r="G78" s="404">
        <f t="shared" si="30"/>
        <v>0</v>
      </c>
      <c r="H78" s="404">
        <f t="shared" si="30"/>
        <v>0</v>
      </c>
      <c r="I78" s="404">
        <f t="shared" si="30"/>
        <v>0</v>
      </c>
      <c r="J78" s="404">
        <f t="shared" si="30"/>
        <v>0</v>
      </c>
      <c r="K78" s="405">
        <f t="shared" si="30"/>
        <v>0</v>
      </c>
    </row>
    <row r="79" spans="1:23" s="334" customFormat="1" ht="14.25">
      <c r="A79" s="422" t="s">
        <v>474</v>
      </c>
      <c r="B79" s="404">
        <f>SUM($B$78:B78)</f>
        <v>0</v>
      </c>
      <c r="C79" s="404">
        <f>SUM($B$78:C78)</f>
        <v>0</v>
      </c>
      <c r="D79" s="404">
        <f>SUM($B$78:D78)</f>
        <v>0</v>
      </c>
      <c r="E79" s="404">
        <f>SUM($B$78:E78)</f>
        <v>0</v>
      </c>
      <c r="F79" s="404">
        <f>SUM($B$78:F78)</f>
        <v>0</v>
      </c>
      <c r="G79" s="404">
        <f>SUM($B$78:G78)</f>
        <v>0</v>
      </c>
      <c r="H79" s="404">
        <f>SUM($B$78:H78)</f>
        <v>0</v>
      </c>
      <c r="I79" s="404">
        <f>SUM($B$78:I78)</f>
        <v>0</v>
      </c>
      <c r="J79" s="404">
        <f>SUM($B$78:J78)</f>
        <v>0</v>
      </c>
      <c r="K79" s="405">
        <f>SUM($B$78:K78)</f>
        <v>0</v>
      </c>
    </row>
    <row r="80" spans="1:23">
      <c r="A80" s="423" t="s">
        <v>230</v>
      </c>
      <c r="B80" s="424">
        <f t="shared" ref="B80:L80" si="31">1/POWER((1+$B$38),B68)</f>
        <v>1</v>
      </c>
      <c r="C80" s="424">
        <f t="shared" si="31"/>
        <v>0.89285714285714279</v>
      </c>
      <c r="D80" s="424">
        <f t="shared" si="31"/>
        <v>0.79719387755102034</v>
      </c>
      <c r="E80" s="424">
        <f t="shared" si="31"/>
        <v>0.71178024781341087</v>
      </c>
      <c r="F80" s="424">
        <f t="shared" si="31"/>
        <v>0.63551807840483121</v>
      </c>
      <c r="G80" s="424">
        <f t="shared" si="31"/>
        <v>0.56742685571859919</v>
      </c>
      <c r="H80" s="424">
        <f t="shared" si="31"/>
        <v>0.50663112117732068</v>
      </c>
      <c r="I80" s="424">
        <f t="shared" si="31"/>
        <v>0.45234921533689343</v>
      </c>
      <c r="J80" s="424">
        <f t="shared" si="31"/>
        <v>0.4038832279793691</v>
      </c>
      <c r="K80" s="425">
        <f t="shared" si="31"/>
        <v>0.36061002498157957</v>
      </c>
      <c r="L80" s="425">
        <f t="shared" si="31"/>
        <v>0.32197323659069599</v>
      </c>
      <c r="M80" s="424"/>
    </row>
    <row r="81" spans="1:13" s="334" customFormat="1" ht="14.25">
      <c r="A81" s="426" t="s">
        <v>469</v>
      </c>
      <c r="B81" s="427">
        <f>B78*B80</f>
        <v>0</v>
      </c>
      <c r="C81" s="427">
        <f t="shared" ref="C81:K81" si="32">C78*C80</f>
        <v>0</v>
      </c>
      <c r="D81" s="427">
        <f t="shared" si="32"/>
        <v>0</v>
      </c>
      <c r="E81" s="427">
        <f t="shared" si="32"/>
        <v>0</v>
      </c>
      <c r="F81" s="427">
        <f t="shared" si="32"/>
        <v>0</v>
      </c>
      <c r="G81" s="427">
        <f t="shared" si="32"/>
        <v>0</v>
      </c>
      <c r="H81" s="427">
        <f t="shared" si="32"/>
        <v>0</v>
      </c>
      <c r="I81" s="427">
        <f t="shared" si="32"/>
        <v>0</v>
      </c>
      <c r="J81" s="427">
        <f t="shared" si="32"/>
        <v>0</v>
      </c>
      <c r="K81" s="428">
        <f t="shared" si="32"/>
        <v>0</v>
      </c>
      <c r="L81" s="429"/>
    </row>
    <row r="82" spans="1:13" s="334" customFormat="1" ht="14.25">
      <c r="A82" s="426" t="s">
        <v>473</v>
      </c>
      <c r="B82" s="427">
        <f>SUM($B$81:B81)</f>
        <v>0</v>
      </c>
      <c r="C82" s="427">
        <f>SUM($B$81:C81)</f>
        <v>0</v>
      </c>
      <c r="D82" s="427">
        <f>SUM($B$81:D81)</f>
        <v>0</v>
      </c>
      <c r="E82" s="427">
        <f>SUM($B$81:E81)</f>
        <v>0</v>
      </c>
      <c r="F82" s="427">
        <f>SUM($B$81:F81)</f>
        <v>0</v>
      </c>
      <c r="G82" s="427">
        <f>SUM($B$81:G81)</f>
        <v>0</v>
      </c>
      <c r="H82" s="427">
        <f>SUM($B$81:H81)</f>
        <v>0</v>
      </c>
      <c r="I82" s="427">
        <f>SUM($B$81:I81)</f>
        <v>0</v>
      </c>
      <c r="J82" s="427">
        <f>SUM($B$81:J81)</f>
        <v>0</v>
      </c>
      <c r="K82" s="428">
        <f>SUM($B$81:K81)</f>
        <v>0</v>
      </c>
    </row>
    <row r="83" spans="1:13" s="334" customFormat="1" ht="14.25">
      <c r="A83" s="426" t="s">
        <v>472</v>
      </c>
      <c r="B83" s="430">
        <f>IF((ISERR(IRR($B$78:B78))),0,IF(IRR($B$78:B78)&lt;0,0,IRR($B$78:B78)))</f>
        <v>0</v>
      </c>
      <c r="C83" s="430">
        <f>IF((ISERR(IRR($B$78:C78))),0,IF(IRR($B$78:C78)&lt;0,0,IRR($B$78:C78)))</f>
        <v>0</v>
      </c>
      <c r="D83" s="430">
        <f>IF((ISERR(IRR($B$78:D78))),0,IF(IRR($B$78:D78)&lt;0,0,IRR($B$78:D78)))</f>
        <v>0</v>
      </c>
      <c r="E83" s="430">
        <f>IF((ISERR(IRR($B$78:E78))),0,IF(IRR($B$78:E78)&lt;0,0,IRR($B$78:E78)))</f>
        <v>0</v>
      </c>
      <c r="F83" s="430">
        <f>IF((ISERR(IRR($B$78:F78))),0,IF(IRR($B$78:F78)&lt;0,0,IRR($B$78:F78)))</f>
        <v>0</v>
      </c>
      <c r="G83" s="430">
        <f>IF((ISERR(IRR($B$78:G78))),0,IF(IRR($B$78:G78)&lt;0,0,IRR($B$78:G78)))</f>
        <v>0</v>
      </c>
      <c r="H83" s="430">
        <f>IF((ISERR(IRR($B$78:H78))),0,IF(IRR($B$78:H78)&lt;0,0,IRR($B$78:H78)))</f>
        <v>0</v>
      </c>
      <c r="I83" s="430">
        <f>IF((ISERR(IRR($B$78:I78))),0,IF(IRR($B$78:I78)&lt;0,0,IRR($B$78:I78)))</f>
        <v>0</v>
      </c>
      <c r="J83" s="430">
        <f>IF((ISERR(IRR($B$78:J78))),0,IF(IRR($B$78:J78)&lt;0,0,IRR($B$78:J78)))</f>
        <v>0</v>
      </c>
      <c r="K83" s="431">
        <f>IF((ISERR(IRR($B$78:K78))),0,IF(IRR($B$78:K78)&lt;0,0,IRR($B$78:K78)))</f>
        <v>0</v>
      </c>
    </row>
    <row r="84" spans="1:13" s="334" customFormat="1" ht="14.25">
      <c r="A84" s="426" t="s">
        <v>471</v>
      </c>
      <c r="B84" s="432">
        <f>IF(AND(B79&gt;0),B69-$B$69+1,0)</f>
        <v>0</v>
      </c>
      <c r="C84" s="432">
        <f>IF(C76&lt;0,0,IF(AND(C79&gt;0,B79&lt;=0),C69-$B$69,0))</f>
        <v>0</v>
      </c>
      <c r="D84" s="432">
        <f>IF(D76&lt;0,0,IF(AND(D79&gt;0,SUM($C$84:C84)&lt;=0),D69-$B$69,0))</f>
        <v>0</v>
      </c>
      <c r="E84" s="432">
        <f>IF(E76&lt;0,0,IF(AND(E79&gt;0,SUM($C$84:D84)&lt;=0),E69-$B$69,0))</f>
        <v>0</v>
      </c>
      <c r="F84" s="432">
        <f>IF(F76&lt;0,0,IF(AND(F79&gt;0,SUM($C$84:E84)&lt;=0),F69-$B$69,0))</f>
        <v>0</v>
      </c>
      <c r="G84" s="432">
        <f>IF(G76&lt;0,0,IF(AND(G79&gt;0,SUM($C$84:F84)&lt;=0),G69-$B$69,0))</f>
        <v>0</v>
      </c>
      <c r="H84" s="432">
        <f>IF(H76&lt;0,0,IF(AND(H79&gt;0,SUM($C$84:G84)&lt;=0),H69-$B$69,0))</f>
        <v>0</v>
      </c>
      <c r="I84" s="432">
        <f>IF(I76&lt;0,0,IF(AND(I79&gt;0,SUM($C$84:H84)&lt;=0),I69-$B$69,0))</f>
        <v>0</v>
      </c>
      <c r="J84" s="432">
        <f>IF(J76&lt;0,0,IF(AND(J79&gt;0,SUM($C$84:I84)&lt;=0),J69-$B$69,0))</f>
        <v>0</v>
      </c>
      <c r="K84" s="432">
        <f t="shared" ref="K84" si="33">IF(K76&lt;0,0,IF(AND(K79&gt;0,J79&lt;=0),K69-$B$69,0))</f>
        <v>0</v>
      </c>
    </row>
    <row r="85" spans="1:13" s="334" customFormat="1" ht="15" thickBot="1">
      <c r="A85" s="433" t="s">
        <v>470</v>
      </c>
      <c r="B85" s="434">
        <f>IF(B82&gt;0,B69-$B$69+1,0)</f>
        <v>0</v>
      </c>
      <c r="C85" s="434">
        <f t="shared" ref="C85" si="34">IF(C76&lt;0,0,IF(AND(C82&gt;0,B82&lt;=0),C69-$B$69,0))</f>
        <v>0</v>
      </c>
      <c r="D85" s="434">
        <f>IF(D76&lt;0,0,IF(AND(D82&gt;0,SUM(B$85:$C85)&lt;=0),D69-$B$69,0))</f>
        <v>0</v>
      </c>
      <c r="E85" s="434">
        <f>IF(E76&lt;0,0,IF(AND(E82&gt;0,SUM($D$85:D85)&lt;=0),E69-$B$69,0))</f>
        <v>0</v>
      </c>
      <c r="F85" s="434">
        <f>IF(F76&lt;0,0,IF(AND(F82&gt;0,SUM($D$85:E85)&lt;=0),F69-$B$69,0))</f>
        <v>0</v>
      </c>
      <c r="G85" s="434">
        <f>IF(G76&lt;0,0,IF(AND(G82&gt;0,SUM($D$85:F85)&lt;=0),G69-$B$69,0))</f>
        <v>0</v>
      </c>
      <c r="H85" s="434">
        <f>IF(H76&lt;0,0,IF(AND(H82&gt;0,SUM($D$85:G85)&lt;=0),H69-$B$69,0))</f>
        <v>0</v>
      </c>
      <c r="I85" s="434">
        <f>IF(I76&lt;0,0,IF(AND(I82&gt;0,SUM($D$85:H85)&lt;=0),I69-$B$69,0))</f>
        <v>0</v>
      </c>
      <c r="J85" s="434">
        <f>IF(J76&lt;0,0,IF(AND(J82&gt;0,SUM($D$85:I85)&lt;=0),J69-$B$69,0))</f>
        <v>0</v>
      </c>
      <c r="K85" s="434">
        <f t="shared" ref="K85" si="35">IF(AND(K82&gt;0,J82&lt;=0),K69-$B$69,0)</f>
        <v>0</v>
      </c>
    </row>
    <row r="86" spans="1:13">
      <c r="A86" s="435" t="str">
        <f>B96</f>
        <v>MIRR</v>
      </c>
      <c r="B86" s="436" t="e">
        <f>C96</f>
        <v>#DIV/0!</v>
      </c>
    </row>
    <row r="87" spans="1:13" ht="53.25" customHeight="1">
      <c r="A87" s="435"/>
      <c r="B87" s="436"/>
    </row>
    <row r="88" spans="1:13" ht="37.5" customHeight="1">
      <c r="A88" s="435"/>
      <c r="B88" s="436"/>
    </row>
    <row r="89" spans="1:13" ht="9.75" customHeight="1">
      <c r="A89" s="435"/>
      <c r="B89" s="436"/>
    </row>
    <row r="90" spans="1:13">
      <c r="A90" s="435"/>
      <c r="B90" s="436"/>
    </row>
    <row r="91" spans="1:13" ht="64.5" customHeight="1">
      <c r="A91" s="501"/>
      <c r="B91" s="501"/>
      <c r="C91" s="501"/>
      <c r="D91" s="501"/>
      <c r="E91" s="501"/>
      <c r="F91" s="501"/>
      <c r="G91" s="501"/>
      <c r="H91" s="501"/>
      <c r="I91" s="501"/>
      <c r="J91" s="501"/>
      <c r="K91" s="501"/>
    </row>
    <row r="92" spans="1:13" hidden="1"/>
    <row r="93" spans="1:13" hidden="1">
      <c r="A93" s="319" t="s">
        <v>469</v>
      </c>
      <c r="B93" s="274">
        <f>(B19+B20)*B80</f>
        <v>0</v>
      </c>
      <c r="C93" s="274"/>
      <c r="D93" s="274"/>
      <c r="E93" s="274"/>
      <c r="F93" s="274"/>
      <c r="G93" s="274"/>
      <c r="H93" s="274"/>
      <c r="I93" s="274"/>
      <c r="J93" s="274"/>
      <c r="K93" s="274"/>
      <c r="L93" s="273"/>
      <c r="M93" s="273">
        <f>SUM(B93:K93)</f>
        <v>0</v>
      </c>
    </row>
    <row r="94" spans="1:13" hidden="1">
      <c r="A94" s="319" t="s">
        <v>468</v>
      </c>
      <c r="B94" s="273">
        <f>(B61+B71)*(1+0.17)^K68</f>
        <v>0</v>
      </c>
      <c r="C94" s="273">
        <f>(C61+C71)*(1+0.17)^J68</f>
        <v>0</v>
      </c>
      <c r="D94" s="273">
        <f>(D61+D71)*(1+0.17)^I68</f>
        <v>0</v>
      </c>
      <c r="E94" s="273">
        <f>(E61+E71)*(1+0.17)^H68</f>
        <v>0</v>
      </c>
      <c r="F94" s="273">
        <f>(F61+F71)*(1+0.17)^G68</f>
        <v>0</v>
      </c>
      <c r="G94" s="273">
        <f>(G61+G71)*(1+0.17)^F68</f>
        <v>0</v>
      </c>
      <c r="H94" s="273">
        <f>(H61+H71)*(1+0.17)^E68</f>
        <v>0</v>
      </c>
      <c r="I94" s="273">
        <f>(I61+I71)*(1+0.17)^D68</f>
        <v>0</v>
      </c>
      <c r="J94" s="273">
        <f>J61*(1+0.17)^C68</f>
        <v>0</v>
      </c>
      <c r="K94" s="273">
        <f>K61*(1+0.17)^B68</f>
        <v>0</v>
      </c>
      <c r="L94" s="273"/>
      <c r="M94" s="274">
        <f>SUM(B94:K94)</f>
        <v>0</v>
      </c>
    </row>
    <row r="95" spans="1:13" hidden="1">
      <c r="A95" s="320"/>
      <c r="B95" s="319"/>
      <c r="C95" s="273"/>
      <c r="D95" s="273"/>
      <c r="E95" s="273"/>
      <c r="F95" s="273"/>
      <c r="G95" s="273"/>
      <c r="H95" s="273"/>
      <c r="I95" s="273"/>
      <c r="J95" s="273"/>
      <c r="K95" s="273"/>
      <c r="L95" s="273"/>
      <c r="M95" s="273"/>
    </row>
    <row r="96" spans="1:13" hidden="1">
      <c r="A96" s="320"/>
      <c r="B96" s="321" t="s">
        <v>467</v>
      </c>
      <c r="C96" s="322" t="e">
        <f>(M94/M93)^(1/10)-1</f>
        <v>#DIV/0!</v>
      </c>
      <c r="D96" s="273"/>
      <c r="E96" s="273"/>
      <c r="F96" s="273"/>
      <c r="G96" s="273"/>
      <c r="H96" s="273"/>
      <c r="I96" s="273"/>
      <c r="J96" s="273"/>
      <c r="K96" s="273"/>
      <c r="L96" s="273"/>
      <c r="M96" s="273"/>
    </row>
    <row r="97" spans="1:13" hidden="1">
      <c r="A97" s="320"/>
      <c r="B97" s="319"/>
      <c r="C97" s="273"/>
      <c r="D97" s="273"/>
      <c r="E97" s="273"/>
      <c r="F97" s="273"/>
      <c r="G97" s="273"/>
      <c r="H97" s="273"/>
      <c r="I97" s="273"/>
      <c r="J97" s="273"/>
      <c r="K97" s="273"/>
      <c r="L97" s="273"/>
      <c r="M97" s="273"/>
    </row>
    <row r="98" spans="1:13" hidden="1"/>
    <row r="99" spans="1:13" hidden="1"/>
    <row r="100" spans="1:13" hidden="1">
      <c r="A100" s="435" t="s">
        <v>466</v>
      </c>
      <c r="B100" s="437" t="e">
        <f>K82/(B19+B20)+1</f>
        <v>#DIV/0!</v>
      </c>
    </row>
    <row r="101" spans="1:13">
      <c r="A101" s="272" t="s">
        <v>500</v>
      </c>
    </row>
    <row r="102" spans="1:13">
      <c r="A102" s="271" t="s">
        <v>501</v>
      </c>
    </row>
    <row r="103" spans="1:13">
      <c r="A103" s="27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9" zoomScale="60" workbookViewId="0">
      <selection activeCell="D42" sqref="D42"/>
    </sheetView>
  </sheetViews>
  <sheetFormatPr defaultRowHeight="15.75"/>
  <cols>
    <col min="1" max="1" width="9.140625" style="54"/>
    <col min="2" max="2" width="94.85546875" style="54" customWidth="1"/>
    <col min="3" max="3" width="21.85546875" style="54" customWidth="1"/>
    <col min="4" max="4" width="22.140625" style="54" customWidth="1"/>
    <col min="5" max="5" width="19.5703125" style="54" customWidth="1"/>
    <col min="6" max="6" width="21.7109375" style="54" customWidth="1"/>
    <col min="7" max="7" width="16.28515625" style="54" customWidth="1"/>
    <col min="8" max="8" width="22" style="54" customWidth="1"/>
    <col min="9" max="9" width="19.7109375" style="54" customWidth="1"/>
    <col min="10" max="10" width="18.28515625" style="54" customWidth="1"/>
    <col min="11" max="11" width="64.85546875" style="54" customWidth="1"/>
    <col min="12" max="12" width="32.28515625" style="54" customWidth="1"/>
    <col min="13" max="252" width="9.140625" style="54"/>
    <col min="253" max="253" width="37.7109375" style="54" customWidth="1"/>
    <col min="254" max="254" width="9.140625" style="54"/>
    <col min="255" max="255" width="12.85546875" style="54" customWidth="1"/>
    <col min="256" max="257" width="0" style="54" hidden="1" customWidth="1"/>
    <col min="258" max="258" width="18.28515625" style="54" customWidth="1"/>
    <col min="259" max="259" width="64.85546875" style="54" customWidth="1"/>
    <col min="260" max="263" width="9.140625" style="54"/>
    <col min="264" max="264" width="14.85546875" style="54" customWidth="1"/>
    <col min="265" max="508" width="9.140625" style="54"/>
    <col min="509" max="509" width="37.7109375" style="54" customWidth="1"/>
    <col min="510" max="510" width="9.140625" style="54"/>
    <col min="511" max="511" width="12.85546875" style="54" customWidth="1"/>
    <col min="512" max="513" width="0" style="54" hidden="1" customWidth="1"/>
    <col min="514" max="514" width="18.28515625" style="54" customWidth="1"/>
    <col min="515" max="515" width="64.85546875" style="54" customWidth="1"/>
    <col min="516" max="519" width="9.140625" style="54"/>
    <col min="520" max="520" width="14.85546875" style="54" customWidth="1"/>
    <col min="521" max="764" width="9.140625" style="54"/>
    <col min="765" max="765" width="37.7109375" style="54" customWidth="1"/>
    <col min="766" max="766" width="9.140625" style="54"/>
    <col min="767" max="767" width="12.85546875" style="54" customWidth="1"/>
    <col min="768" max="769" width="0" style="54" hidden="1" customWidth="1"/>
    <col min="770" max="770" width="18.28515625" style="54" customWidth="1"/>
    <col min="771" max="771" width="64.85546875" style="54" customWidth="1"/>
    <col min="772" max="775" width="9.140625" style="54"/>
    <col min="776" max="776" width="14.85546875" style="54" customWidth="1"/>
    <col min="777" max="1020" width="9.140625" style="54"/>
    <col min="1021" max="1021" width="37.7109375" style="54" customWidth="1"/>
    <col min="1022" max="1022" width="9.140625" style="54"/>
    <col min="1023" max="1023" width="12.85546875" style="54" customWidth="1"/>
    <col min="1024" max="1025" width="0" style="54" hidden="1" customWidth="1"/>
    <col min="1026" max="1026" width="18.28515625" style="54" customWidth="1"/>
    <col min="1027" max="1027" width="64.85546875" style="54" customWidth="1"/>
    <col min="1028" max="1031" width="9.140625" style="54"/>
    <col min="1032" max="1032" width="14.85546875" style="54" customWidth="1"/>
    <col min="1033" max="1276" width="9.140625" style="54"/>
    <col min="1277" max="1277" width="37.7109375" style="54" customWidth="1"/>
    <col min="1278" max="1278" width="9.140625" style="54"/>
    <col min="1279" max="1279" width="12.85546875" style="54" customWidth="1"/>
    <col min="1280" max="1281" width="0" style="54" hidden="1" customWidth="1"/>
    <col min="1282" max="1282" width="18.28515625" style="54" customWidth="1"/>
    <col min="1283" max="1283" width="64.85546875" style="54" customWidth="1"/>
    <col min="1284" max="1287" width="9.140625" style="54"/>
    <col min="1288" max="1288" width="14.85546875" style="54" customWidth="1"/>
    <col min="1289" max="1532" width="9.140625" style="54"/>
    <col min="1533" max="1533" width="37.7109375" style="54" customWidth="1"/>
    <col min="1534" max="1534" width="9.140625" style="54"/>
    <col min="1535" max="1535" width="12.85546875" style="54" customWidth="1"/>
    <col min="1536" max="1537" width="0" style="54" hidden="1" customWidth="1"/>
    <col min="1538" max="1538" width="18.28515625" style="54" customWidth="1"/>
    <col min="1539" max="1539" width="64.85546875" style="54" customWidth="1"/>
    <col min="1540" max="1543" width="9.140625" style="54"/>
    <col min="1544" max="1544" width="14.85546875" style="54" customWidth="1"/>
    <col min="1545" max="1788" width="9.140625" style="54"/>
    <col min="1789" max="1789" width="37.7109375" style="54" customWidth="1"/>
    <col min="1790" max="1790" width="9.140625" style="54"/>
    <col min="1791" max="1791" width="12.85546875" style="54" customWidth="1"/>
    <col min="1792" max="1793" width="0" style="54" hidden="1" customWidth="1"/>
    <col min="1794" max="1794" width="18.28515625" style="54" customWidth="1"/>
    <col min="1795" max="1795" width="64.85546875" style="54" customWidth="1"/>
    <col min="1796" max="1799" width="9.140625" style="54"/>
    <col min="1800" max="1800" width="14.85546875" style="54" customWidth="1"/>
    <col min="1801" max="2044" width="9.140625" style="54"/>
    <col min="2045" max="2045" width="37.7109375" style="54" customWidth="1"/>
    <col min="2046" max="2046" width="9.140625" style="54"/>
    <col min="2047" max="2047" width="12.85546875" style="54" customWidth="1"/>
    <col min="2048" max="2049" width="0" style="54" hidden="1" customWidth="1"/>
    <col min="2050" max="2050" width="18.28515625" style="54" customWidth="1"/>
    <col min="2051" max="2051" width="64.85546875" style="54" customWidth="1"/>
    <col min="2052" max="2055" width="9.140625" style="54"/>
    <col min="2056" max="2056" width="14.85546875" style="54" customWidth="1"/>
    <col min="2057" max="2300" width="9.140625" style="54"/>
    <col min="2301" max="2301" width="37.7109375" style="54" customWidth="1"/>
    <col min="2302" max="2302" width="9.140625" style="54"/>
    <col min="2303" max="2303" width="12.85546875" style="54" customWidth="1"/>
    <col min="2304" max="2305" width="0" style="54" hidden="1" customWidth="1"/>
    <col min="2306" max="2306" width="18.28515625" style="54" customWidth="1"/>
    <col min="2307" max="2307" width="64.85546875" style="54" customWidth="1"/>
    <col min="2308" max="2311" width="9.140625" style="54"/>
    <col min="2312" max="2312" width="14.85546875" style="54" customWidth="1"/>
    <col min="2313" max="2556" width="9.140625" style="54"/>
    <col min="2557" max="2557" width="37.7109375" style="54" customWidth="1"/>
    <col min="2558" max="2558" width="9.140625" style="54"/>
    <col min="2559" max="2559" width="12.85546875" style="54" customWidth="1"/>
    <col min="2560" max="2561" width="0" style="54" hidden="1" customWidth="1"/>
    <col min="2562" max="2562" width="18.28515625" style="54" customWidth="1"/>
    <col min="2563" max="2563" width="64.85546875" style="54" customWidth="1"/>
    <col min="2564" max="2567" width="9.140625" style="54"/>
    <col min="2568" max="2568" width="14.85546875" style="54" customWidth="1"/>
    <col min="2569" max="2812" width="9.140625" style="54"/>
    <col min="2813" max="2813" width="37.7109375" style="54" customWidth="1"/>
    <col min="2814" max="2814" width="9.140625" style="54"/>
    <col min="2815" max="2815" width="12.85546875" style="54" customWidth="1"/>
    <col min="2816" max="2817" width="0" style="54" hidden="1" customWidth="1"/>
    <col min="2818" max="2818" width="18.28515625" style="54" customWidth="1"/>
    <col min="2819" max="2819" width="64.85546875" style="54" customWidth="1"/>
    <col min="2820" max="2823" width="9.140625" style="54"/>
    <col min="2824" max="2824" width="14.85546875" style="54" customWidth="1"/>
    <col min="2825" max="3068" width="9.140625" style="54"/>
    <col min="3069" max="3069" width="37.7109375" style="54" customWidth="1"/>
    <col min="3070" max="3070" width="9.140625" style="54"/>
    <col min="3071" max="3071" width="12.85546875" style="54" customWidth="1"/>
    <col min="3072" max="3073" width="0" style="54" hidden="1" customWidth="1"/>
    <col min="3074" max="3074" width="18.28515625" style="54" customWidth="1"/>
    <col min="3075" max="3075" width="64.85546875" style="54" customWidth="1"/>
    <col min="3076" max="3079" width="9.140625" style="54"/>
    <col min="3080" max="3080" width="14.85546875" style="54" customWidth="1"/>
    <col min="3081" max="3324" width="9.140625" style="54"/>
    <col min="3325" max="3325" width="37.7109375" style="54" customWidth="1"/>
    <col min="3326" max="3326" width="9.140625" style="54"/>
    <col min="3327" max="3327" width="12.85546875" style="54" customWidth="1"/>
    <col min="3328" max="3329" width="0" style="54" hidden="1" customWidth="1"/>
    <col min="3330" max="3330" width="18.28515625" style="54" customWidth="1"/>
    <col min="3331" max="3331" width="64.85546875" style="54" customWidth="1"/>
    <col min="3332" max="3335" width="9.140625" style="54"/>
    <col min="3336" max="3336" width="14.85546875" style="54" customWidth="1"/>
    <col min="3337" max="3580" width="9.140625" style="54"/>
    <col min="3581" max="3581" width="37.7109375" style="54" customWidth="1"/>
    <col min="3582" max="3582" width="9.140625" style="54"/>
    <col min="3583" max="3583" width="12.85546875" style="54" customWidth="1"/>
    <col min="3584" max="3585" width="0" style="54" hidden="1" customWidth="1"/>
    <col min="3586" max="3586" width="18.28515625" style="54" customWidth="1"/>
    <col min="3587" max="3587" width="64.85546875" style="54" customWidth="1"/>
    <col min="3588" max="3591" width="9.140625" style="54"/>
    <col min="3592" max="3592" width="14.85546875" style="54" customWidth="1"/>
    <col min="3593" max="3836" width="9.140625" style="54"/>
    <col min="3837" max="3837" width="37.7109375" style="54" customWidth="1"/>
    <col min="3838" max="3838" width="9.140625" style="54"/>
    <col min="3839" max="3839" width="12.85546875" style="54" customWidth="1"/>
    <col min="3840" max="3841" width="0" style="54" hidden="1" customWidth="1"/>
    <col min="3842" max="3842" width="18.28515625" style="54" customWidth="1"/>
    <col min="3843" max="3843" width="64.85546875" style="54" customWidth="1"/>
    <col min="3844" max="3847" width="9.140625" style="54"/>
    <col min="3848" max="3848" width="14.85546875" style="54" customWidth="1"/>
    <col min="3849" max="4092" width="9.140625" style="54"/>
    <col min="4093" max="4093" width="37.7109375" style="54" customWidth="1"/>
    <col min="4094" max="4094" width="9.140625" style="54"/>
    <col min="4095" max="4095" width="12.85546875" style="54" customWidth="1"/>
    <col min="4096" max="4097" width="0" style="54" hidden="1" customWidth="1"/>
    <col min="4098" max="4098" width="18.28515625" style="54" customWidth="1"/>
    <col min="4099" max="4099" width="64.85546875" style="54" customWidth="1"/>
    <col min="4100" max="4103" width="9.140625" style="54"/>
    <col min="4104" max="4104" width="14.85546875" style="54" customWidth="1"/>
    <col min="4105" max="4348" width="9.140625" style="54"/>
    <col min="4349" max="4349" width="37.7109375" style="54" customWidth="1"/>
    <col min="4350" max="4350" width="9.140625" style="54"/>
    <col min="4351" max="4351" width="12.85546875" style="54" customWidth="1"/>
    <col min="4352" max="4353" width="0" style="54" hidden="1" customWidth="1"/>
    <col min="4354" max="4354" width="18.28515625" style="54" customWidth="1"/>
    <col min="4355" max="4355" width="64.85546875" style="54" customWidth="1"/>
    <col min="4356" max="4359" width="9.140625" style="54"/>
    <col min="4360" max="4360" width="14.85546875" style="54" customWidth="1"/>
    <col min="4361" max="4604" width="9.140625" style="54"/>
    <col min="4605" max="4605" width="37.7109375" style="54" customWidth="1"/>
    <col min="4606" max="4606" width="9.140625" style="54"/>
    <col min="4607" max="4607" width="12.85546875" style="54" customWidth="1"/>
    <col min="4608" max="4609" width="0" style="54" hidden="1" customWidth="1"/>
    <col min="4610" max="4610" width="18.28515625" style="54" customWidth="1"/>
    <col min="4611" max="4611" width="64.85546875" style="54" customWidth="1"/>
    <col min="4612" max="4615" width="9.140625" style="54"/>
    <col min="4616" max="4616" width="14.85546875" style="54" customWidth="1"/>
    <col min="4617" max="4860" width="9.140625" style="54"/>
    <col min="4861" max="4861" width="37.7109375" style="54" customWidth="1"/>
    <col min="4862" max="4862" width="9.140625" style="54"/>
    <col min="4863" max="4863" width="12.85546875" style="54" customWidth="1"/>
    <col min="4864" max="4865" width="0" style="54" hidden="1" customWidth="1"/>
    <col min="4866" max="4866" width="18.28515625" style="54" customWidth="1"/>
    <col min="4867" max="4867" width="64.85546875" style="54" customWidth="1"/>
    <col min="4868" max="4871" width="9.140625" style="54"/>
    <col min="4872" max="4872" width="14.85546875" style="54" customWidth="1"/>
    <col min="4873" max="5116" width="9.140625" style="54"/>
    <col min="5117" max="5117" width="37.7109375" style="54" customWidth="1"/>
    <col min="5118" max="5118" width="9.140625" style="54"/>
    <col min="5119" max="5119" width="12.85546875" style="54" customWidth="1"/>
    <col min="5120" max="5121" width="0" style="54" hidden="1" customWidth="1"/>
    <col min="5122" max="5122" width="18.28515625" style="54" customWidth="1"/>
    <col min="5123" max="5123" width="64.85546875" style="54" customWidth="1"/>
    <col min="5124" max="5127" width="9.140625" style="54"/>
    <col min="5128" max="5128" width="14.85546875" style="54" customWidth="1"/>
    <col min="5129" max="5372" width="9.140625" style="54"/>
    <col min="5373" max="5373" width="37.7109375" style="54" customWidth="1"/>
    <col min="5374" max="5374" width="9.140625" style="54"/>
    <col min="5375" max="5375" width="12.85546875" style="54" customWidth="1"/>
    <col min="5376" max="5377" width="0" style="54" hidden="1" customWidth="1"/>
    <col min="5378" max="5378" width="18.28515625" style="54" customWidth="1"/>
    <col min="5379" max="5379" width="64.85546875" style="54" customWidth="1"/>
    <col min="5380" max="5383" width="9.140625" style="54"/>
    <col min="5384" max="5384" width="14.85546875" style="54" customWidth="1"/>
    <col min="5385" max="5628" width="9.140625" style="54"/>
    <col min="5629" max="5629" width="37.7109375" style="54" customWidth="1"/>
    <col min="5630" max="5630" width="9.140625" style="54"/>
    <col min="5631" max="5631" width="12.85546875" style="54" customWidth="1"/>
    <col min="5632" max="5633" width="0" style="54" hidden="1" customWidth="1"/>
    <col min="5634" max="5634" width="18.28515625" style="54" customWidth="1"/>
    <col min="5635" max="5635" width="64.85546875" style="54" customWidth="1"/>
    <col min="5636" max="5639" width="9.140625" style="54"/>
    <col min="5640" max="5640" width="14.85546875" style="54" customWidth="1"/>
    <col min="5641" max="5884" width="9.140625" style="54"/>
    <col min="5885" max="5885" width="37.7109375" style="54" customWidth="1"/>
    <col min="5886" max="5886" width="9.140625" style="54"/>
    <col min="5887" max="5887" width="12.85546875" style="54" customWidth="1"/>
    <col min="5888" max="5889" width="0" style="54" hidden="1" customWidth="1"/>
    <col min="5890" max="5890" width="18.28515625" style="54" customWidth="1"/>
    <col min="5891" max="5891" width="64.85546875" style="54" customWidth="1"/>
    <col min="5892" max="5895" width="9.140625" style="54"/>
    <col min="5896" max="5896" width="14.85546875" style="54" customWidth="1"/>
    <col min="5897" max="6140" width="9.140625" style="54"/>
    <col min="6141" max="6141" width="37.7109375" style="54" customWidth="1"/>
    <col min="6142" max="6142" width="9.140625" style="54"/>
    <col min="6143" max="6143" width="12.85546875" style="54" customWidth="1"/>
    <col min="6144" max="6145" width="0" style="54" hidden="1" customWidth="1"/>
    <col min="6146" max="6146" width="18.28515625" style="54" customWidth="1"/>
    <col min="6147" max="6147" width="64.85546875" style="54" customWidth="1"/>
    <col min="6148" max="6151" width="9.140625" style="54"/>
    <col min="6152" max="6152" width="14.85546875" style="54" customWidth="1"/>
    <col min="6153" max="6396" width="9.140625" style="54"/>
    <col min="6397" max="6397" width="37.7109375" style="54" customWidth="1"/>
    <col min="6398" max="6398" width="9.140625" style="54"/>
    <col min="6399" max="6399" width="12.85546875" style="54" customWidth="1"/>
    <col min="6400" max="6401" width="0" style="54" hidden="1" customWidth="1"/>
    <col min="6402" max="6402" width="18.28515625" style="54" customWidth="1"/>
    <col min="6403" max="6403" width="64.85546875" style="54" customWidth="1"/>
    <col min="6404" max="6407" width="9.140625" style="54"/>
    <col min="6408" max="6408" width="14.85546875" style="54" customWidth="1"/>
    <col min="6409" max="6652" width="9.140625" style="54"/>
    <col min="6653" max="6653" width="37.7109375" style="54" customWidth="1"/>
    <col min="6654" max="6654" width="9.140625" style="54"/>
    <col min="6655" max="6655" width="12.85546875" style="54" customWidth="1"/>
    <col min="6656" max="6657" width="0" style="54" hidden="1" customWidth="1"/>
    <col min="6658" max="6658" width="18.28515625" style="54" customWidth="1"/>
    <col min="6659" max="6659" width="64.85546875" style="54" customWidth="1"/>
    <col min="6660" max="6663" width="9.140625" style="54"/>
    <col min="6664" max="6664" width="14.85546875" style="54" customWidth="1"/>
    <col min="6665" max="6908" width="9.140625" style="54"/>
    <col min="6909" max="6909" width="37.7109375" style="54" customWidth="1"/>
    <col min="6910" max="6910" width="9.140625" style="54"/>
    <col min="6911" max="6911" width="12.85546875" style="54" customWidth="1"/>
    <col min="6912" max="6913" width="0" style="54" hidden="1" customWidth="1"/>
    <col min="6914" max="6914" width="18.28515625" style="54" customWidth="1"/>
    <col min="6915" max="6915" width="64.85546875" style="54" customWidth="1"/>
    <col min="6916" max="6919" width="9.140625" style="54"/>
    <col min="6920" max="6920" width="14.85546875" style="54" customWidth="1"/>
    <col min="6921" max="7164" width="9.140625" style="54"/>
    <col min="7165" max="7165" width="37.7109375" style="54" customWidth="1"/>
    <col min="7166" max="7166" width="9.140625" style="54"/>
    <col min="7167" max="7167" width="12.85546875" style="54" customWidth="1"/>
    <col min="7168" max="7169" width="0" style="54" hidden="1" customWidth="1"/>
    <col min="7170" max="7170" width="18.28515625" style="54" customWidth="1"/>
    <col min="7171" max="7171" width="64.85546875" style="54" customWidth="1"/>
    <col min="7172" max="7175" width="9.140625" style="54"/>
    <col min="7176" max="7176" width="14.85546875" style="54" customWidth="1"/>
    <col min="7177" max="7420" width="9.140625" style="54"/>
    <col min="7421" max="7421" width="37.7109375" style="54" customWidth="1"/>
    <col min="7422" max="7422" width="9.140625" style="54"/>
    <col min="7423" max="7423" width="12.85546875" style="54" customWidth="1"/>
    <col min="7424" max="7425" width="0" style="54" hidden="1" customWidth="1"/>
    <col min="7426" max="7426" width="18.28515625" style="54" customWidth="1"/>
    <col min="7427" max="7427" width="64.85546875" style="54" customWidth="1"/>
    <col min="7428" max="7431" width="9.140625" style="54"/>
    <col min="7432" max="7432" width="14.85546875" style="54" customWidth="1"/>
    <col min="7433" max="7676" width="9.140625" style="54"/>
    <col min="7677" max="7677" width="37.7109375" style="54" customWidth="1"/>
    <col min="7678" max="7678" width="9.140625" style="54"/>
    <col min="7679" max="7679" width="12.85546875" style="54" customWidth="1"/>
    <col min="7680" max="7681" width="0" style="54" hidden="1" customWidth="1"/>
    <col min="7682" max="7682" width="18.28515625" style="54" customWidth="1"/>
    <col min="7683" max="7683" width="64.85546875" style="54" customWidth="1"/>
    <col min="7684" max="7687" width="9.140625" style="54"/>
    <col min="7688" max="7688" width="14.85546875" style="54" customWidth="1"/>
    <col min="7689" max="7932" width="9.140625" style="54"/>
    <col min="7933" max="7933" width="37.7109375" style="54" customWidth="1"/>
    <col min="7934" max="7934" width="9.140625" style="54"/>
    <col min="7935" max="7935" width="12.85546875" style="54" customWidth="1"/>
    <col min="7936" max="7937" width="0" style="54" hidden="1" customWidth="1"/>
    <col min="7938" max="7938" width="18.28515625" style="54" customWidth="1"/>
    <col min="7939" max="7939" width="64.85546875" style="54" customWidth="1"/>
    <col min="7940" max="7943" width="9.140625" style="54"/>
    <col min="7944" max="7944" width="14.85546875" style="54" customWidth="1"/>
    <col min="7945" max="8188" width="9.140625" style="54"/>
    <col min="8189" max="8189" width="37.7109375" style="54" customWidth="1"/>
    <col min="8190" max="8190" width="9.140625" style="54"/>
    <col min="8191" max="8191" width="12.85546875" style="54" customWidth="1"/>
    <col min="8192" max="8193" width="0" style="54" hidden="1" customWidth="1"/>
    <col min="8194" max="8194" width="18.28515625" style="54" customWidth="1"/>
    <col min="8195" max="8195" width="64.85546875" style="54" customWidth="1"/>
    <col min="8196" max="8199" width="9.140625" style="54"/>
    <col min="8200" max="8200" width="14.85546875" style="54" customWidth="1"/>
    <col min="8201" max="8444" width="9.140625" style="54"/>
    <col min="8445" max="8445" width="37.7109375" style="54" customWidth="1"/>
    <col min="8446" max="8446" width="9.140625" style="54"/>
    <col min="8447" max="8447" width="12.85546875" style="54" customWidth="1"/>
    <col min="8448" max="8449" width="0" style="54" hidden="1" customWidth="1"/>
    <col min="8450" max="8450" width="18.28515625" style="54" customWidth="1"/>
    <col min="8451" max="8451" width="64.85546875" style="54" customWidth="1"/>
    <col min="8452" max="8455" width="9.140625" style="54"/>
    <col min="8456" max="8456" width="14.85546875" style="54" customWidth="1"/>
    <col min="8457" max="8700" width="9.140625" style="54"/>
    <col min="8701" max="8701" width="37.7109375" style="54" customWidth="1"/>
    <col min="8702" max="8702" width="9.140625" style="54"/>
    <col min="8703" max="8703" width="12.85546875" style="54" customWidth="1"/>
    <col min="8704" max="8705" width="0" style="54" hidden="1" customWidth="1"/>
    <col min="8706" max="8706" width="18.28515625" style="54" customWidth="1"/>
    <col min="8707" max="8707" width="64.85546875" style="54" customWidth="1"/>
    <col min="8708" max="8711" width="9.140625" style="54"/>
    <col min="8712" max="8712" width="14.85546875" style="54" customWidth="1"/>
    <col min="8713" max="8956" width="9.140625" style="54"/>
    <col min="8957" max="8957" width="37.7109375" style="54" customWidth="1"/>
    <col min="8958" max="8958" width="9.140625" style="54"/>
    <col min="8959" max="8959" width="12.85546875" style="54" customWidth="1"/>
    <col min="8960" max="8961" width="0" style="54" hidden="1" customWidth="1"/>
    <col min="8962" max="8962" width="18.28515625" style="54" customWidth="1"/>
    <col min="8963" max="8963" width="64.85546875" style="54" customWidth="1"/>
    <col min="8964" max="8967" width="9.140625" style="54"/>
    <col min="8968" max="8968" width="14.85546875" style="54" customWidth="1"/>
    <col min="8969" max="9212" width="9.140625" style="54"/>
    <col min="9213" max="9213" width="37.7109375" style="54" customWidth="1"/>
    <col min="9214" max="9214" width="9.140625" style="54"/>
    <col min="9215" max="9215" width="12.85546875" style="54" customWidth="1"/>
    <col min="9216" max="9217" width="0" style="54" hidden="1" customWidth="1"/>
    <col min="9218" max="9218" width="18.28515625" style="54" customWidth="1"/>
    <col min="9219" max="9219" width="64.85546875" style="54" customWidth="1"/>
    <col min="9220" max="9223" width="9.140625" style="54"/>
    <col min="9224" max="9224" width="14.85546875" style="54" customWidth="1"/>
    <col min="9225" max="9468" width="9.140625" style="54"/>
    <col min="9469" max="9469" width="37.7109375" style="54" customWidth="1"/>
    <col min="9470" max="9470" width="9.140625" style="54"/>
    <col min="9471" max="9471" width="12.85546875" style="54" customWidth="1"/>
    <col min="9472" max="9473" width="0" style="54" hidden="1" customWidth="1"/>
    <col min="9474" max="9474" width="18.28515625" style="54" customWidth="1"/>
    <col min="9475" max="9475" width="64.85546875" style="54" customWidth="1"/>
    <col min="9476" max="9479" width="9.140625" style="54"/>
    <col min="9480" max="9480" width="14.85546875" style="54" customWidth="1"/>
    <col min="9481" max="9724" width="9.140625" style="54"/>
    <col min="9725" max="9725" width="37.7109375" style="54" customWidth="1"/>
    <col min="9726" max="9726" width="9.140625" style="54"/>
    <col min="9727" max="9727" width="12.85546875" style="54" customWidth="1"/>
    <col min="9728" max="9729" width="0" style="54" hidden="1" customWidth="1"/>
    <col min="9730" max="9730" width="18.28515625" style="54" customWidth="1"/>
    <col min="9731" max="9731" width="64.85546875" style="54" customWidth="1"/>
    <col min="9732" max="9735" width="9.140625" style="54"/>
    <col min="9736" max="9736" width="14.85546875" style="54" customWidth="1"/>
    <col min="9737" max="9980" width="9.140625" style="54"/>
    <col min="9981" max="9981" width="37.7109375" style="54" customWidth="1"/>
    <col min="9982" max="9982" width="9.140625" style="54"/>
    <col min="9983" max="9983" width="12.85546875" style="54" customWidth="1"/>
    <col min="9984" max="9985" width="0" style="54" hidden="1" customWidth="1"/>
    <col min="9986" max="9986" width="18.28515625" style="54" customWidth="1"/>
    <col min="9987" max="9987" width="64.85546875" style="54" customWidth="1"/>
    <col min="9988" max="9991" width="9.140625" style="54"/>
    <col min="9992" max="9992" width="14.85546875" style="54" customWidth="1"/>
    <col min="9993" max="10236" width="9.140625" style="54"/>
    <col min="10237" max="10237" width="37.7109375" style="54" customWidth="1"/>
    <col min="10238" max="10238" width="9.140625" style="54"/>
    <col min="10239" max="10239" width="12.85546875" style="54" customWidth="1"/>
    <col min="10240" max="10241" width="0" style="54" hidden="1" customWidth="1"/>
    <col min="10242" max="10242" width="18.28515625" style="54" customWidth="1"/>
    <col min="10243" max="10243" width="64.85546875" style="54" customWidth="1"/>
    <col min="10244" max="10247" width="9.140625" style="54"/>
    <col min="10248" max="10248" width="14.85546875" style="54" customWidth="1"/>
    <col min="10249" max="10492" width="9.140625" style="54"/>
    <col min="10493" max="10493" width="37.7109375" style="54" customWidth="1"/>
    <col min="10494" max="10494" width="9.140625" style="54"/>
    <col min="10495" max="10495" width="12.85546875" style="54" customWidth="1"/>
    <col min="10496" max="10497" width="0" style="54" hidden="1" customWidth="1"/>
    <col min="10498" max="10498" width="18.28515625" style="54" customWidth="1"/>
    <col min="10499" max="10499" width="64.85546875" style="54" customWidth="1"/>
    <col min="10500" max="10503" width="9.140625" style="54"/>
    <col min="10504" max="10504" width="14.85546875" style="54" customWidth="1"/>
    <col min="10505" max="10748" width="9.140625" style="54"/>
    <col min="10749" max="10749" width="37.7109375" style="54" customWidth="1"/>
    <col min="10750" max="10750" width="9.140625" style="54"/>
    <col min="10751" max="10751" width="12.85546875" style="54" customWidth="1"/>
    <col min="10752" max="10753" width="0" style="54" hidden="1" customWidth="1"/>
    <col min="10754" max="10754" width="18.28515625" style="54" customWidth="1"/>
    <col min="10755" max="10755" width="64.85546875" style="54" customWidth="1"/>
    <col min="10756" max="10759" width="9.140625" style="54"/>
    <col min="10760" max="10760" width="14.85546875" style="54" customWidth="1"/>
    <col min="10761" max="11004" width="9.140625" style="54"/>
    <col min="11005" max="11005" width="37.7109375" style="54" customWidth="1"/>
    <col min="11006" max="11006" width="9.140625" style="54"/>
    <col min="11007" max="11007" width="12.85546875" style="54" customWidth="1"/>
    <col min="11008" max="11009" width="0" style="54" hidden="1" customWidth="1"/>
    <col min="11010" max="11010" width="18.28515625" style="54" customWidth="1"/>
    <col min="11011" max="11011" width="64.85546875" style="54" customWidth="1"/>
    <col min="11012" max="11015" width="9.140625" style="54"/>
    <col min="11016" max="11016" width="14.85546875" style="54" customWidth="1"/>
    <col min="11017" max="11260" width="9.140625" style="54"/>
    <col min="11261" max="11261" width="37.7109375" style="54" customWidth="1"/>
    <col min="11262" max="11262" width="9.140625" style="54"/>
    <col min="11263" max="11263" width="12.85546875" style="54" customWidth="1"/>
    <col min="11264" max="11265" width="0" style="54" hidden="1" customWidth="1"/>
    <col min="11266" max="11266" width="18.28515625" style="54" customWidth="1"/>
    <col min="11267" max="11267" width="64.85546875" style="54" customWidth="1"/>
    <col min="11268" max="11271" width="9.140625" style="54"/>
    <col min="11272" max="11272" width="14.85546875" style="54" customWidth="1"/>
    <col min="11273" max="11516" width="9.140625" style="54"/>
    <col min="11517" max="11517" width="37.7109375" style="54" customWidth="1"/>
    <col min="11518" max="11518" width="9.140625" style="54"/>
    <col min="11519" max="11519" width="12.85546875" style="54" customWidth="1"/>
    <col min="11520" max="11521" width="0" style="54" hidden="1" customWidth="1"/>
    <col min="11522" max="11522" width="18.28515625" style="54" customWidth="1"/>
    <col min="11523" max="11523" width="64.85546875" style="54" customWidth="1"/>
    <col min="11524" max="11527" width="9.140625" style="54"/>
    <col min="11528" max="11528" width="14.85546875" style="54" customWidth="1"/>
    <col min="11529" max="11772" width="9.140625" style="54"/>
    <col min="11773" max="11773" width="37.7109375" style="54" customWidth="1"/>
    <col min="11774" max="11774" width="9.140625" style="54"/>
    <col min="11775" max="11775" width="12.85546875" style="54" customWidth="1"/>
    <col min="11776" max="11777" width="0" style="54" hidden="1" customWidth="1"/>
    <col min="11778" max="11778" width="18.28515625" style="54" customWidth="1"/>
    <col min="11779" max="11779" width="64.85546875" style="54" customWidth="1"/>
    <col min="11780" max="11783" width="9.140625" style="54"/>
    <col min="11784" max="11784" width="14.85546875" style="54" customWidth="1"/>
    <col min="11785" max="12028" width="9.140625" style="54"/>
    <col min="12029" max="12029" width="37.7109375" style="54" customWidth="1"/>
    <col min="12030" max="12030" width="9.140625" style="54"/>
    <col min="12031" max="12031" width="12.85546875" style="54" customWidth="1"/>
    <col min="12032" max="12033" width="0" style="54" hidden="1" customWidth="1"/>
    <col min="12034" max="12034" width="18.28515625" style="54" customWidth="1"/>
    <col min="12035" max="12035" width="64.85546875" style="54" customWidth="1"/>
    <col min="12036" max="12039" width="9.140625" style="54"/>
    <col min="12040" max="12040" width="14.85546875" style="54" customWidth="1"/>
    <col min="12041" max="12284" width="9.140625" style="54"/>
    <col min="12285" max="12285" width="37.7109375" style="54" customWidth="1"/>
    <col min="12286" max="12286" width="9.140625" style="54"/>
    <col min="12287" max="12287" width="12.85546875" style="54" customWidth="1"/>
    <col min="12288" max="12289" width="0" style="54" hidden="1" customWidth="1"/>
    <col min="12290" max="12290" width="18.28515625" style="54" customWidth="1"/>
    <col min="12291" max="12291" width="64.85546875" style="54" customWidth="1"/>
    <col min="12292" max="12295" width="9.140625" style="54"/>
    <col min="12296" max="12296" width="14.85546875" style="54" customWidth="1"/>
    <col min="12297" max="12540" width="9.140625" style="54"/>
    <col min="12541" max="12541" width="37.7109375" style="54" customWidth="1"/>
    <col min="12542" max="12542" width="9.140625" style="54"/>
    <col min="12543" max="12543" width="12.85546875" style="54" customWidth="1"/>
    <col min="12544" max="12545" width="0" style="54" hidden="1" customWidth="1"/>
    <col min="12546" max="12546" width="18.28515625" style="54" customWidth="1"/>
    <col min="12547" max="12547" width="64.85546875" style="54" customWidth="1"/>
    <col min="12548" max="12551" width="9.140625" style="54"/>
    <col min="12552" max="12552" width="14.85546875" style="54" customWidth="1"/>
    <col min="12553" max="12796" width="9.140625" style="54"/>
    <col min="12797" max="12797" width="37.7109375" style="54" customWidth="1"/>
    <col min="12798" max="12798" width="9.140625" style="54"/>
    <col min="12799" max="12799" width="12.85546875" style="54" customWidth="1"/>
    <col min="12800" max="12801" width="0" style="54" hidden="1" customWidth="1"/>
    <col min="12802" max="12802" width="18.28515625" style="54" customWidth="1"/>
    <col min="12803" max="12803" width="64.85546875" style="54" customWidth="1"/>
    <col min="12804" max="12807" width="9.140625" style="54"/>
    <col min="12808" max="12808" width="14.85546875" style="54" customWidth="1"/>
    <col min="12809" max="13052" width="9.140625" style="54"/>
    <col min="13053" max="13053" width="37.7109375" style="54" customWidth="1"/>
    <col min="13054" max="13054" width="9.140625" style="54"/>
    <col min="13055" max="13055" width="12.85546875" style="54" customWidth="1"/>
    <col min="13056" max="13057" width="0" style="54" hidden="1" customWidth="1"/>
    <col min="13058" max="13058" width="18.28515625" style="54" customWidth="1"/>
    <col min="13059" max="13059" width="64.85546875" style="54" customWidth="1"/>
    <col min="13060" max="13063" width="9.140625" style="54"/>
    <col min="13064" max="13064" width="14.85546875" style="54" customWidth="1"/>
    <col min="13065" max="13308" width="9.140625" style="54"/>
    <col min="13309" max="13309" width="37.7109375" style="54" customWidth="1"/>
    <col min="13310" max="13310" width="9.140625" style="54"/>
    <col min="13311" max="13311" width="12.85546875" style="54" customWidth="1"/>
    <col min="13312" max="13313" width="0" style="54" hidden="1" customWidth="1"/>
    <col min="13314" max="13314" width="18.28515625" style="54" customWidth="1"/>
    <col min="13315" max="13315" width="64.85546875" style="54" customWidth="1"/>
    <col min="13316" max="13319" width="9.140625" style="54"/>
    <col min="13320" max="13320" width="14.85546875" style="54" customWidth="1"/>
    <col min="13321" max="13564" width="9.140625" style="54"/>
    <col min="13565" max="13565" width="37.7109375" style="54" customWidth="1"/>
    <col min="13566" max="13566" width="9.140625" style="54"/>
    <col min="13567" max="13567" width="12.85546875" style="54" customWidth="1"/>
    <col min="13568" max="13569" width="0" style="54" hidden="1" customWidth="1"/>
    <col min="13570" max="13570" width="18.28515625" style="54" customWidth="1"/>
    <col min="13571" max="13571" width="64.85546875" style="54" customWidth="1"/>
    <col min="13572" max="13575" width="9.140625" style="54"/>
    <col min="13576" max="13576" width="14.85546875" style="54" customWidth="1"/>
    <col min="13577" max="13820" width="9.140625" style="54"/>
    <col min="13821" max="13821" width="37.7109375" style="54" customWidth="1"/>
    <col min="13822" max="13822" width="9.140625" style="54"/>
    <col min="13823" max="13823" width="12.85546875" style="54" customWidth="1"/>
    <col min="13824" max="13825" width="0" style="54" hidden="1" customWidth="1"/>
    <col min="13826" max="13826" width="18.28515625" style="54" customWidth="1"/>
    <col min="13827" max="13827" width="64.85546875" style="54" customWidth="1"/>
    <col min="13828" max="13831" width="9.140625" style="54"/>
    <col min="13832" max="13832" width="14.85546875" style="54" customWidth="1"/>
    <col min="13833" max="14076" width="9.140625" style="54"/>
    <col min="14077" max="14077" width="37.7109375" style="54" customWidth="1"/>
    <col min="14078" max="14078" width="9.140625" style="54"/>
    <col min="14079" max="14079" width="12.85546875" style="54" customWidth="1"/>
    <col min="14080" max="14081" width="0" style="54" hidden="1" customWidth="1"/>
    <col min="14082" max="14082" width="18.28515625" style="54" customWidth="1"/>
    <col min="14083" max="14083" width="64.85546875" style="54" customWidth="1"/>
    <col min="14084" max="14087" width="9.140625" style="54"/>
    <col min="14088" max="14088" width="14.85546875" style="54" customWidth="1"/>
    <col min="14089" max="14332" width="9.140625" style="54"/>
    <col min="14333" max="14333" width="37.7109375" style="54" customWidth="1"/>
    <col min="14334" max="14334" width="9.140625" style="54"/>
    <col min="14335" max="14335" width="12.85546875" style="54" customWidth="1"/>
    <col min="14336" max="14337" width="0" style="54" hidden="1" customWidth="1"/>
    <col min="14338" max="14338" width="18.28515625" style="54" customWidth="1"/>
    <col min="14339" max="14339" width="64.85546875" style="54" customWidth="1"/>
    <col min="14340" max="14343" width="9.140625" style="54"/>
    <col min="14344" max="14344" width="14.85546875" style="54" customWidth="1"/>
    <col min="14345" max="14588" width="9.140625" style="54"/>
    <col min="14589" max="14589" width="37.7109375" style="54" customWidth="1"/>
    <col min="14590" max="14590" width="9.140625" style="54"/>
    <col min="14591" max="14591" width="12.85546875" style="54" customWidth="1"/>
    <col min="14592" max="14593" width="0" style="54" hidden="1" customWidth="1"/>
    <col min="14594" max="14594" width="18.28515625" style="54" customWidth="1"/>
    <col min="14595" max="14595" width="64.85546875" style="54" customWidth="1"/>
    <col min="14596" max="14599" width="9.140625" style="54"/>
    <col min="14600" max="14600" width="14.85546875" style="54" customWidth="1"/>
    <col min="14601" max="14844" width="9.140625" style="54"/>
    <col min="14845" max="14845" width="37.7109375" style="54" customWidth="1"/>
    <col min="14846" max="14846" width="9.140625" style="54"/>
    <col min="14847" max="14847" width="12.85546875" style="54" customWidth="1"/>
    <col min="14848" max="14849" width="0" style="54" hidden="1" customWidth="1"/>
    <col min="14850" max="14850" width="18.28515625" style="54" customWidth="1"/>
    <col min="14851" max="14851" width="64.85546875" style="54" customWidth="1"/>
    <col min="14852" max="14855" width="9.140625" style="54"/>
    <col min="14856" max="14856" width="14.85546875" style="54" customWidth="1"/>
    <col min="14857" max="15100" width="9.140625" style="54"/>
    <col min="15101" max="15101" width="37.7109375" style="54" customWidth="1"/>
    <col min="15102" max="15102" width="9.140625" style="54"/>
    <col min="15103" max="15103" width="12.85546875" style="54" customWidth="1"/>
    <col min="15104" max="15105" width="0" style="54" hidden="1" customWidth="1"/>
    <col min="15106" max="15106" width="18.28515625" style="54" customWidth="1"/>
    <col min="15107" max="15107" width="64.85546875" style="54" customWidth="1"/>
    <col min="15108" max="15111" width="9.140625" style="54"/>
    <col min="15112" max="15112" width="14.85546875" style="54" customWidth="1"/>
    <col min="15113" max="15356" width="9.140625" style="54"/>
    <col min="15357" max="15357" width="37.7109375" style="54" customWidth="1"/>
    <col min="15358" max="15358" width="9.140625" style="54"/>
    <col min="15359" max="15359" width="12.85546875" style="54" customWidth="1"/>
    <col min="15360" max="15361" width="0" style="54" hidden="1" customWidth="1"/>
    <col min="15362" max="15362" width="18.28515625" style="54" customWidth="1"/>
    <col min="15363" max="15363" width="64.85546875" style="54" customWidth="1"/>
    <col min="15364" max="15367" width="9.140625" style="54"/>
    <col min="15368" max="15368" width="14.85546875" style="54" customWidth="1"/>
    <col min="15369" max="15612" width="9.140625" style="54"/>
    <col min="15613" max="15613" width="37.7109375" style="54" customWidth="1"/>
    <col min="15614" max="15614" width="9.140625" style="54"/>
    <col min="15615" max="15615" width="12.85546875" style="54" customWidth="1"/>
    <col min="15616" max="15617" width="0" style="54" hidden="1" customWidth="1"/>
    <col min="15618" max="15618" width="18.28515625" style="54" customWidth="1"/>
    <col min="15619" max="15619" width="64.85546875" style="54" customWidth="1"/>
    <col min="15620" max="15623" width="9.140625" style="54"/>
    <col min="15624" max="15624" width="14.85546875" style="54" customWidth="1"/>
    <col min="15625" max="15868" width="9.140625" style="54"/>
    <col min="15869" max="15869" width="37.7109375" style="54" customWidth="1"/>
    <col min="15870" max="15870" width="9.140625" style="54"/>
    <col min="15871" max="15871" width="12.85546875" style="54" customWidth="1"/>
    <col min="15872" max="15873" width="0" style="54" hidden="1" customWidth="1"/>
    <col min="15874" max="15874" width="18.28515625" style="54" customWidth="1"/>
    <col min="15875" max="15875" width="64.85546875" style="54" customWidth="1"/>
    <col min="15876" max="15879" width="9.140625" style="54"/>
    <col min="15880" max="15880" width="14.85546875" style="54" customWidth="1"/>
    <col min="15881" max="16124" width="9.140625" style="54"/>
    <col min="16125" max="16125" width="37.7109375" style="54" customWidth="1"/>
    <col min="16126" max="16126" width="9.140625" style="54"/>
    <col min="16127" max="16127" width="12.85546875" style="54" customWidth="1"/>
    <col min="16128" max="16129" width="0" style="54" hidden="1" customWidth="1"/>
    <col min="16130" max="16130" width="18.28515625" style="54" customWidth="1"/>
    <col min="16131" max="16131" width="64.85546875" style="54" customWidth="1"/>
    <col min="16132" max="16135" width="9.140625" style="54"/>
    <col min="16136" max="16136" width="14.85546875" style="54" customWidth="1"/>
    <col min="16137" max="16384" width="9.140625" style="54"/>
  </cols>
  <sheetData>
    <row r="1" spans="1:44" ht="18.75">
      <c r="L1" s="36" t="s">
        <v>68</v>
      </c>
    </row>
    <row r="2" spans="1:44" ht="18.75">
      <c r="L2" s="14" t="s">
        <v>9</v>
      </c>
    </row>
    <row r="3" spans="1:44" ht="18.75">
      <c r="L3" s="14" t="s">
        <v>67</v>
      </c>
    </row>
    <row r="4" spans="1:44" ht="18.75">
      <c r="K4" s="14"/>
    </row>
    <row r="5" spans="1:44">
      <c r="A5" s="449" t="str">
        <f>'1. паспорт местоположение'!A5:C5</f>
        <v>Год раскрытия информации: 2020 год</v>
      </c>
      <c r="B5" s="449"/>
      <c r="C5" s="449"/>
      <c r="D5" s="449"/>
      <c r="E5" s="449"/>
      <c r="F5" s="449"/>
      <c r="G5" s="449"/>
      <c r="H5" s="449"/>
      <c r="I5" s="449"/>
      <c r="J5" s="449"/>
      <c r="K5" s="449"/>
      <c r="L5" s="44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ht="18.75">
      <c r="K6" s="14"/>
    </row>
    <row r="7" spans="1:44" ht="18.75">
      <c r="A7" s="453" t="s">
        <v>8</v>
      </c>
      <c r="B7" s="453"/>
      <c r="C7" s="453"/>
      <c r="D7" s="453"/>
      <c r="E7" s="453"/>
      <c r="F7" s="453"/>
      <c r="G7" s="453"/>
      <c r="H7" s="453"/>
      <c r="I7" s="453"/>
      <c r="J7" s="453"/>
      <c r="K7" s="453"/>
      <c r="L7" s="453"/>
    </row>
    <row r="8" spans="1:44" ht="18.75">
      <c r="A8" s="453"/>
      <c r="B8" s="453"/>
      <c r="C8" s="453"/>
      <c r="D8" s="453"/>
      <c r="E8" s="453"/>
      <c r="F8" s="453"/>
      <c r="G8" s="453"/>
      <c r="H8" s="453"/>
      <c r="I8" s="453"/>
      <c r="J8" s="453"/>
      <c r="K8" s="453"/>
      <c r="L8" s="453"/>
    </row>
    <row r="9" spans="1:44" ht="18.75">
      <c r="A9" s="452" t="str">
        <f>'1. паспорт местоположение'!A9:C9</f>
        <v>АО "Крымэнерго"</v>
      </c>
      <c r="B9" s="452"/>
      <c r="C9" s="452"/>
      <c r="D9" s="452"/>
      <c r="E9" s="452"/>
      <c r="F9" s="452"/>
      <c r="G9" s="452"/>
      <c r="H9" s="452"/>
      <c r="I9" s="452"/>
      <c r="J9" s="452"/>
      <c r="K9" s="452"/>
      <c r="L9" s="452"/>
    </row>
    <row r="10" spans="1:44">
      <c r="A10" s="450" t="s">
        <v>7</v>
      </c>
      <c r="B10" s="450"/>
      <c r="C10" s="450"/>
      <c r="D10" s="450"/>
      <c r="E10" s="450"/>
      <c r="F10" s="450"/>
      <c r="G10" s="450"/>
      <c r="H10" s="450"/>
      <c r="I10" s="450"/>
      <c r="J10" s="450"/>
      <c r="K10" s="450"/>
      <c r="L10" s="450"/>
    </row>
    <row r="11" spans="1:44" ht="18.75">
      <c r="A11" s="453"/>
      <c r="B11" s="453"/>
      <c r="C11" s="453"/>
      <c r="D11" s="453"/>
      <c r="E11" s="453"/>
      <c r="F11" s="453"/>
      <c r="G11" s="453"/>
      <c r="H11" s="453"/>
      <c r="I11" s="453"/>
      <c r="J11" s="453"/>
      <c r="K11" s="453"/>
      <c r="L11" s="453"/>
    </row>
    <row r="12" spans="1:44" ht="18.75">
      <c r="A12" s="452" t="str">
        <f>'1. паспорт местоположение'!A12:C12</f>
        <v>K_1101004</v>
      </c>
      <c r="B12" s="452"/>
      <c r="C12" s="452"/>
      <c r="D12" s="452"/>
      <c r="E12" s="452"/>
      <c r="F12" s="452"/>
      <c r="G12" s="452"/>
      <c r="H12" s="452"/>
      <c r="I12" s="452"/>
      <c r="J12" s="452"/>
      <c r="K12" s="452"/>
      <c r="L12" s="452"/>
    </row>
    <row r="13" spans="1:44">
      <c r="A13" s="450" t="s">
        <v>6</v>
      </c>
      <c r="B13" s="450"/>
      <c r="C13" s="450"/>
      <c r="D13" s="450"/>
      <c r="E13" s="450"/>
      <c r="F13" s="450"/>
      <c r="G13" s="450"/>
      <c r="H13" s="450"/>
      <c r="I13" s="450"/>
      <c r="J13" s="450"/>
      <c r="K13" s="450"/>
      <c r="L13" s="450"/>
    </row>
    <row r="14" spans="1:44" ht="18.75">
      <c r="A14" s="457"/>
      <c r="B14" s="457"/>
      <c r="C14" s="457"/>
      <c r="D14" s="457"/>
      <c r="E14" s="457"/>
      <c r="F14" s="457"/>
      <c r="G14" s="457"/>
      <c r="H14" s="457"/>
      <c r="I14" s="457"/>
      <c r="J14" s="457"/>
      <c r="K14" s="457"/>
      <c r="L14" s="457"/>
    </row>
    <row r="15" spans="1:44" ht="18.75">
      <c r="A15" s="452" t="str">
        <f>'1. паспорт местоположение'!A15:C15</f>
        <v>Реконструкция ПС 110 кВ "Артек" с заменой силовых трансформаторов  и расширением РУ 10 кВ  на 4 линейных ячеек.</v>
      </c>
      <c r="B15" s="452"/>
      <c r="C15" s="452"/>
      <c r="D15" s="452"/>
      <c r="E15" s="452"/>
      <c r="F15" s="452"/>
      <c r="G15" s="452"/>
      <c r="H15" s="452"/>
      <c r="I15" s="452"/>
      <c r="J15" s="452"/>
      <c r="K15" s="452"/>
      <c r="L15" s="452"/>
    </row>
    <row r="16" spans="1:44">
      <c r="A16" s="450" t="s">
        <v>5</v>
      </c>
      <c r="B16" s="450"/>
      <c r="C16" s="450"/>
      <c r="D16" s="450"/>
      <c r="E16" s="450"/>
      <c r="F16" s="450"/>
      <c r="G16" s="450"/>
      <c r="H16" s="450"/>
      <c r="I16" s="450"/>
      <c r="J16" s="450"/>
      <c r="K16" s="450"/>
      <c r="L16" s="450"/>
    </row>
    <row r="17" spans="1:12" ht="15.75" customHeight="1">
      <c r="L17" s="77"/>
    </row>
    <row r="18" spans="1:12">
      <c r="K18" s="76"/>
    </row>
    <row r="19" spans="1:12" ht="15.75" customHeight="1">
      <c r="A19" s="520" t="s">
        <v>396</v>
      </c>
      <c r="B19" s="520"/>
      <c r="C19" s="520"/>
      <c r="D19" s="520"/>
      <c r="E19" s="520"/>
      <c r="F19" s="520"/>
      <c r="G19" s="520"/>
      <c r="H19" s="520"/>
      <c r="I19" s="520"/>
      <c r="J19" s="520"/>
      <c r="K19" s="520"/>
      <c r="L19" s="520"/>
    </row>
    <row r="20" spans="1:12">
      <c r="A20" s="58"/>
      <c r="B20" s="58"/>
      <c r="C20" s="75"/>
      <c r="D20" s="75"/>
      <c r="E20" s="75"/>
      <c r="F20" s="75"/>
      <c r="G20" s="75"/>
      <c r="H20" s="75"/>
      <c r="I20" s="75"/>
      <c r="J20" s="75"/>
      <c r="K20" s="75"/>
      <c r="L20" s="75"/>
    </row>
    <row r="21" spans="1:12" ht="28.5" customHeight="1">
      <c r="A21" s="509" t="s">
        <v>209</v>
      </c>
      <c r="B21" s="510" t="s">
        <v>208</v>
      </c>
      <c r="C21" s="516" t="s">
        <v>333</v>
      </c>
      <c r="D21" s="516"/>
      <c r="E21" s="516"/>
      <c r="F21" s="516"/>
      <c r="G21" s="516"/>
      <c r="H21" s="516"/>
      <c r="I21" s="511" t="s">
        <v>207</v>
      </c>
      <c r="J21" s="513" t="s">
        <v>335</v>
      </c>
      <c r="K21" s="509" t="s">
        <v>206</v>
      </c>
      <c r="L21" s="512" t="s">
        <v>334</v>
      </c>
    </row>
    <row r="22" spans="1:12" ht="58.5" customHeight="1">
      <c r="A22" s="509"/>
      <c r="B22" s="510"/>
      <c r="C22" s="517" t="s">
        <v>3</v>
      </c>
      <c r="D22" s="517"/>
      <c r="E22" s="102"/>
      <c r="F22" s="103"/>
      <c r="G22" s="518" t="s">
        <v>2</v>
      </c>
      <c r="H22" s="519"/>
      <c r="I22" s="511"/>
      <c r="J22" s="514"/>
      <c r="K22" s="509"/>
      <c r="L22" s="512"/>
    </row>
    <row r="23" spans="1:12">
      <c r="A23" s="509"/>
      <c r="B23" s="510"/>
      <c r="C23" s="74" t="s">
        <v>205</v>
      </c>
      <c r="D23" s="74" t="s">
        <v>204</v>
      </c>
      <c r="E23" s="74" t="s">
        <v>205</v>
      </c>
      <c r="F23" s="74" t="s">
        <v>204</v>
      </c>
      <c r="G23" s="74" t="s">
        <v>205</v>
      </c>
      <c r="H23" s="74" t="s">
        <v>204</v>
      </c>
      <c r="I23" s="511"/>
      <c r="J23" s="515"/>
      <c r="K23" s="509"/>
      <c r="L23" s="512"/>
    </row>
    <row r="24" spans="1:12" ht="18.75">
      <c r="A24" s="65">
        <v>1</v>
      </c>
      <c r="B24" s="138">
        <v>2</v>
      </c>
      <c r="C24" s="74">
        <v>3</v>
      </c>
      <c r="D24" s="74">
        <v>4</v>
      </c>
      <c r="E24" s="74">
        <v>5</v>
      </c>
      <c r="F24" s="74">
        <v>6</v>
      </c>
      <c r="G24" s="74">
        <v>7</v>
      </c>
      <c r="H24" s="74">
        <v>8</v>
      </c>
      <c r="I24" s="74">
        <v>9</v>
      </c>
      <c r="J24" s="74">
        <v>10</v>
      </c>
      <c r="K24" s="74">
        <v>11</v>
      </c>
      <c r="L24" s="74">
        <v>12</v>
      </c>
    </row>
    <row r="25" spans="1:12" ht="30" customHeight="1">
      <c r="A25" s="190">
        <v>1</v>
      </c>
      <c r="B25" s="191" t="s">
        <v>203</v>
      </c>
      <c r="C25" s="285"/>
      <c r="D25" s="286"/>
      <c r="E25" s="286"/>
      <c r="F25" s="286"/>
      <c r="G25" s="286"/>
      <c r="H25" s="286"/>
      <c r="I25" s="286"/>
      <c r="J25" s="286"/>
      <c r="K25" s="192"/>
      <c r="L25" s="193"/>
    </row>
    <row r="26" spans="1:12" ht="33" customHeight="1">
      <c r="A26" s="72" t="s">
        <v>202</v>
      </c>
      <c r="B26" s="139" t="s">
        <v>340</v>
      </c>
      <c r="C26" s="298">
        <v>43916</v>
      </c>
      <c r="D26" s="438">
        <f>C26+20</f>
        <v>43936</v>
      </c>
      <c r="E26" s="287"/>
      <c r="F26" s="287"/>
      <c r="G26" s="287"/>
      <c r="H26" s="287"/>
      <c r="I26" s="287"/>
      <c r="J26" s="287"/>
      <c r="K26" s="70"/>
      <c r="L26" s="70"/>
    </row>
    <row r="27" spans="1:12" s="61" customFormat="1" ht="39" customHeight="1">
      <c r="A27" s="72" t="s">
        <v>201</v>
      </c>
      <c r="B27" s="139" t="s">
        <v>342</v>
      </c>
      <c r="C27" s="298">
        <f>D27-25</f>
        <v>43933</v>
      </c>
      <c r="D27" s="438">
        <v>43958</v>
      </c>
      <c r="E27" s="287"/>
      <c r="F27" s="287"/>
      <c r="G27" s="287"/>
      <c r="H27" s="287"/>
      <c r="I27" s="287"/>
      <c r="J27" s="287"/>
      <c r="K27" s="70"/>
      <c r="L27" s="70"/>
    </row>
    <row r="28" spans="1:12" s="61" customFormat="1" ht="46.5" customHeight="1">
      <c r="A28" s="72" t="s">
        <v>341</v>
      </c>
      <c r="B28" s="139" t="s">
        <v>346</v>
      </c>
      <c r="C28" s="71"/>
      <c r="D28" s="287"/>
      <c r="E28" s="287"/>
      <c r="F28" s="287"/>
      <c r="G28" s="287"/>
      <c r="H28" s="287"/>
      <c r="I28" s="287"/>
      <c r="J28" s="287"/>
      <c r="K28" s="70"/>
      <c r="L28" s="70"/>
    </row>
    <row r="29" spans="1:12" s="61" customFormat="1" ht="39" customHeight="1">
      <c r="A29" s="72" t="s">
        <v>200</v>
      </c>
      <c r="B29" s="139" t="s">
        <v>345</v>
      </c>
      <c r="C29" s="71"/>
      <c r="D29" s="287"/>
      <c r="E29" s="287"/>
      <c r="F29" s="287"/>
      <c r="G29" s="287"/>
      <c r="H29" s="287"/>
      <c r="I29" s="287"/>
      <c r="J29" s="287"/>
      <c r="K29" s="70"/>
      <c r="L29" s="70"/>
    </row>
    <row r="30" spans="1:12" s="61" customFormat="1" ht="42" customHeight="1">
      <c r="A30" s="72" t="s">
        <v>199</v>
      </c>
      <c r="B30" s="139" t="s">
        <v>347</v>
      </c>
      <c r="C30" s="71"/>
      <c r="D30" s="287"/>
      <c r="E30" s="287"/>
      <c r="F30" s="287"/>
      <c r="G30" s="287"/>
      <c r="H30" s="287"/>
      <c r="I30" s="287"/>
      <c r="J30" s="287"/>
      <c r="K30" s="70"/>
      <c r="L30" s="70"/>
    </row>
    <row r="31" spans="1:12" s="61" customFormat="1" ht="37.5" customHeight="1">
      <c r="A31" s="276" t="s">
        <v>198</v>
      </c>
      <c r="B31" s="277" t="s">
        <v>343</v>
      </c>
      <c r="C31" s="284">
        <v>44216</v>
      </c>
      <c r="D31" s="284">
        <f>C31+40</f>
        <v>44256</v>
      </c>
      <c r="E31" s="288"/>
      <c r="F31" s="288"/>
      <c r="G31" s="288"/>
      <c r="H31" s="288"/>
      <c r="I31" s="288"/>
      <c r="J31" s="288"/>
      <c r="K31" s="278"/>
      <c r="L31" s="278"/>
    </row>
    <row r="32" spans="1:12" s="279" customFormat="1" ht="33" customHeight="1">
      <c r="A32" s="276" t="s">
        <v>196</v>
      </c>
      <c r="B32" s="277" t="s">
        <v>348</v>
      </c>
      <c r="C32" s="284">
        <f>D31+80</f>
        <v>44336</v>
      </c>
      <c r="D32" s="284">
        <f>C32+98</f>
        <v>44434</v>
      </c>
      <c r="E32" s="288"/>
      <c r="F32" s="288"/>
      <c r="G32" s="288"/>
      <c r="H32" s="288"/>
      <c r="I32" s="288"/>
      <c r="J32" s="288"/>
      <c r="K32" s="278"/>
      <c r="L32" s="278"/>
    </row>
    <row r="33" spans="1:12" s="279" customFormat="1" ht="37.5" customHeight="1">
      <c r="A33" s="276" t="s">
        <v>358</v>
      </c>
      <c r="B33" s="277" t="s">
        <v>277</v>
      </c>
      <c r="C33" s="284">
        <f>C32+10</f>
        <v>44346</v>
      </c>
      <c r="D33" s="284">
        <f>C33+30</f>
        <v>44376</v>
      </c>
      <c r="E33" s="288"/>
      <c r="F33" s="288"/>
      <c r="G33" s="288"/>
      <c r="H33" s="288"/>
      <c r="I33" s="288"/>
      <c r="J33" s="288"/>
      <c r="K33" s="278"/>
      <c r="L33" s="278"/>
    </row>
    <row r="34" spans="1:12" s="61" customFormat="1" ht="47.25" customHeight="1">
      <c r="A34" s="72" t="s">
        <v>359</v>
      </c>
      <c r="B34" s="140" t="s">
        <v>352</v>
      </c>
      <c r="C34" s="71"/>
      <c r="D34" s="287"/>
      <c r="E34" s="287"/>
      <c r="F34" s="287"/>
      <c r="G34" s="287"/>
      <c r="H34" s="287"/>
      <c r="I34" s="287"/>
      <c r="J34" s="287"/>
      <c r="K34" s="73"/>
      <c r="L34" s="70"/>
    </row>
    <row r="35" spans="1:12" s="279" customFormat="1" ht="32.25" customHeight="1">
      <c r="A35" s="276" t="s">
        <v>360</v>
      </c>
      <c r="B35" s="277" t="s">
        <v>197</v>
      </c>
      <c r="C35" s="284">
        <f>D33</f>
        <v>44376</v>
      </c>
      <c r="D35" s="284">
        <f>D32</f>
        <v>44434</v>
      </c>
      <c r="E35" s="288"/>
      <c r="F35" s="288"/>
      <c r="G35" s="288"/>
      <c r="H35" s="288"/>
      <c r="I35" s="288"/>
      <c r="J35" s="288"/>
      <c r="K35" s="281"/>
      <c r="L35" s="278"/>
    </row>
    <row r="36" spans="1:12" s="280" customFormat="1" ht="37.5" customHeight="1">
      <c r="A36" s="276" t="s">
        <v>361</v>
      </c>
      <c r="B36" s="277" t="s">
        <v>344</v>
      </c>
      <c r="C36" s="284"/>
      <c r="D36" s="296"/>
      <c r="E36" s="289"/>
      <c r="F36" s="290"/>
      <c r="G36" s="290"/>
      <c r="H36" s="290"/>
      <c r="I36" s="291"/>
      <c r="J36" s="291"/>
      <c r="K36" s="278"/>
      <c r="L36" s="278"/>
    </row>
    <row r="37" spans="1:12" s="280" customFormat="1" ht="36.75" customHeight="1">
      <c r="A37" s="276" t="s">
        <v>362</v>
      </c>
      <c r="B37" s="277" t="s">
        <v>195</v>
      </c>
      <c r="C37" s="284">
        <f>D32</f>
        <v>44434</v>
      </c>
      <c r="D37" s="296">
        <f>C37+20</f>
        <v>44454</v>
      </c>
      <c r="E37" s="289"/>
      <c r="F37" s="290"/>
      <c r="G37" s="290"/>
      <c r="H37" s="290"/>
      <c r="I37" s="291"/>
      <c r="J37" s="291"/>
      <c r="K37" s="278"/>
      <c r="L37" s="278"/>
    </row>
    <row r="38" spans="1:12" ht="32.25" customHeight="1">
      <c r="A38" s="190" t="s">
        <v>363</v>
      </c>
      <c r="B38" s="191" t="s">
        <v>194</v>
      </c>
      <c r="C38" s="194"/>
      <c r="D38" s="292"/>
      <c r="E38" s="292"/>
      <c r="F38" s="292"/>
      <c r="G38" s="292"/>
      <c r="H38" s="292"/>
      <c r="I38" s="292"/>
      <c r="J38" s="292"/>
      <c r="K38" s="192"/>
      <c r="L38" s="192"/>
    </row>
    <row r="39" spans="1:12" ht="47.25" customHeight="1">
      <c r="A39" s="276">
        <v>2</v>
      </c>
      <c r="B39" s="277" t="s">
        <v>349</v>
      </c>
      <c r="C39" s="284">
        <v>44593</v>
      </c>
      <c r="D39" s="296">
        <f>C39+45</f>
        <v>44638</v>
      </c>
      <c r="E39" s="293"/>
      <c r="F39" s="293"/>
      <c r="G39" s="293"/>
      <c r="H39" s="293"/>
      <c r="I39" s="293"/>
      <c r="J39" s="293"/>
      <c r="K39" s="278"/>
      <c r="L39" s="278"/>
    </row>
    <row r="40" spans="1:12" ht="33.75" customHeight="1">
      <c r="A40" s="72" t="s">
        <v>193</v>
      </c>
      <c r="B40" s="140" t="s">
        <v>351</v>
      </c>
      <c r="C40" s="71"/>
      <c r="D40" s="294"/>
      <c r="E40" s="294"/>
      <c r="F40" s="294"/>
      <c r="G40" s="294"/>
      <c r="H40" s="294"/>
      <c r="I40" s="294"/>
      <c r="J40" s="294"/>
      <c r="K40" s="70"/>
      <c r="L40" s="70"/>
    </row>
    <row r="41" spans="1:12" ht="33" customHeight="1">
      <c r="A41" s="276" t="s">
        <v>192</v>
      </c>
      <c r="B41" s="282" t="s">
        <v>426</v>
      </c>
      <c r="C41" s="284">
        <f>D39</f>
        <v>44638</v>
      </c>
      <c r="D41" s="297">
        <f>C41+200</f>
        <v>44838</v>
      </c>
      <c r="E41" s="293"/>
      <c r="F41" s="293"/>
      <c r="G41" s="293"/>
      <c r="H41" s="293"/>
      <c r="I41" s="293"/>
      <c r="J41" s="293"/>
      <c r="K41" s="278"/>
      <c r="L41" s="278"/>
    </row>
    <row r="42" spans="1:12" ht="36" customHeight="1">
      <c r="A42" s="72">
        <v>3</v>
      </c>
      <c r="B42" s="140" t="s">
        <v>350</v>
      </c>
      <c r="C42" s="295"/>
      <c r="D42" s="294"/>
      <c r="E42" s="294"/>
      <c r="F42" s="294"/>
      <c r="G42" s="294"/>
      <c r="H42" s="294"/>
      <c r="I42" s="294"/>
      <c r="J42" s="294"/>
      <c r="K42" s="70"/>
      <c r="L42" s="70"/>
    </row>
    <row r="43" spans="1:12" ht="34.5" customHeight="1">
      <c r="A43" s="72" t="s">
        <v>191</v>
      </c>
      <c r="B43" s="140" t="s">
        <v>189</v>
      </c>
      <c r="C43" s="71"/>
      <c r="D43" s="294"/>
      <c r="E43" s="294"/>
      <c r="F43" s="294"/>
      <c r="G43" s="294"/>
      <c r="H43" s="294"/>
      <c r="I43" s="294"/>
      <c r="J43" s="294"/>
      <c r="K43" s="70"/>
      <c r="L43" s="70"/>
    </row>
    <row r="44" spans="1:12" ht="24.75" customHeight="1">
      <c r="A44" s="72" t="s">
        <v>190</v>
      </c>
      <c r="B44" s="140" t="s">
        <v>187</v>
      </c>
      <c r="C44" s="71"/>
      <c r="D44" s="294"/>
      <c r="E44" s="294"/>
      <c r="F44" s="294"/>
      <c r="G44" s="294"/>
      <c r="H44" s="294"/>
      <c r="I44" s="294"/>
      <c r="J44" s="294"/>
      <c r="K44" s="70"/>
      <c r="L44" s="70"/>
    </row>
    <row r="45" spans="1:12" ht="51" customHeight="1">
      <c r="A45" s="72" t="s">
        <v>188</v>
      </c>
      <c r="B45" s="140" t="s">
        <v>354</v>
      </c>
      <c r="C45" s="71"/>
      <c r="D45" s="294"/>
      <c r="E45" s="294"/>
      <c r="F45" s="294"/>
      <c r="G45" s="294"/>
      <c r="H45" s="294"/>
      <c r="I45" s="294"/>
      <c r="J45" s="294"/>
      <c r="K45" s="70"/>
      <c r="L45" s="70"/>
    </row>
    <row r="46" spans="1:12" ht="92.25" customHeight="1">
      <c r="A46" s="72" t="s">
        <v>186</v>
      </c>
      <c r="B46" s="140" t="s">
        <v>353</v>
      </c>
      <c r="C46" s="71"/>
      <c r="D46" s="294"/>
      <c r="E46" s="294"/>
      <c r="F46" s="294"/>
      <c r="G46" s="294"/>
      <c r="H46" s="294"/>
      <c r="I46" s="294"/>
      <c r="J46" s="294"/>
      <c r="K46" s="70"/>
      <c r="L46" s="70"/>
    </row>
    <row r="47" spans="1:12" ht="30.75" customHeight="1">
      <c r="A47" s="72" t="s">
        <v>184</v>
      </c>
      <c r="B47" s="140" t="s">
        <v>185</v>
      </c>
      <c r="C47" s="298">
        <f>D41</f>
        <v>44838</v>
      </c>
      <c r="D47" s="299">
        <f>C47+30</f>
        <v>44868</v>
      </c>
      <c r="E47" s="294"/>
      <c r="F47" s="294"/>
      <c r="G47" s="294"/>
      <c r="H47" s="294"/>
      <c r="I47" s="294"/>
      <c r="J47" s="294"/>
      <c r="K47" s="70"/>
      <c r="L47" s="70"/>
    </row>
    <row r="48" spans="1:12" ht="37.5" customHeight="1">
      <c r="A48" s="276" t="s">
        <v>364</v>
      </c>
      <c r="B48" s="282" t="s">
        <v>183</v>
      </c>
      <c r="C48" s="284">
        <f>D54</f>
        <v>44883</v>
      </c>
      <c r="D48" s="297">
        <f>C48+20</f>
        <v>44903</v>
      </c>
      <c r="E48" s="293"/>
      <c r="F48" s="293"/>
      <c r="G48" s="293"/>
      <c r="H48" s="293"/>
      <c r="I48" s="293"/>
      <c r="J48" s="293"/>
      <c r="K48" s="278"/>
      <c r="L48" s="278"/>
    </row>
    <row r="49" spans="1:12" ht="34.5" customHeight="1">
      <c r="A49" s="72">
        <v>4</v>
      </c>
      <c r="B49" s="140" t="s">
        <v>181</v>
      </c>
      <c r="C49" s="295"/>
      <c r="D49" s="294"/>
      <c r="E49" s="294"/>
      <c r="F49" s="294"/>
      <c r="G49" s="294"/>
      <c r="H49" s="294"/>
      <c r="I49" s="294"/>
      <c r="J49" s="294"/>
      <c r="K49" s="70"/>
      <c r="L49" s="70"/>
    </row>
    <row r="50" spans="1:12" ht="60" customHeight="1">
      <c r="A50" s="276" t="s">
        <v>182</v>
      </c>
      <c r="B50" s="277" t="s">
        <v>487</v>
      </c>
      <c r="C50" s="284">
        <f>D48</f>
        <v>44903</v>
      </c>
      <c r="D50" s="297">
        <f>C50+10</f>
        <v>44913</v>
      </c>
      <c r="E50" s="293"/>
      <c r="F50" s="293"/>
      <c r="G50" s="293"/>
      <c r="H50" s="293"/>
      <c r="I50" s="293"/>
      <c r="J50" s="293"/>
      <c r="K50" s="278"/>
      <c r="L50" s="278"/>
    </row>
    <row r="51" spans="1:12" ht="44.25" customHeight="1">
      <c r="A51" s="276" t="s">
        <v>180</v>
      </c>
      <c r="B51" s="277" t="s">
        <v>355</v>
      </c>
      <c r="C51" s="284">
        <f>C47</f>
        <v>44838</v>
      </c>
      <c r="D51" s="297">
        <f>C51+30</f>
        <v>44868</v>
      </c>
      <c r="E51" s="293"/>
      <c r="F51" s="293"/>
      <c r="G51" s="293"/>
      <c r="H51" s="293"/>
      <c r="I51" s="293"/>
      <c r="J51" s="293"/>
      <c r="K51" s="278"/>
      <c r="L51" s="278"/>
    </row>
    <row r="52" spans="1:12" ht="42" customHeight="1">
      <c r="A52" s="276" t="s">
        <v>178</v>
      </c>
      <c r="B52" s="277" t="s">
        <v>179</v>
      </c>
      <c r="C52" s="284">
        <f>D51</f>
        <v>44868</v>
      </c>
      <c r="D52" s="297">
        <f>C52+5</f>
        <v>44873</v>
      </c>
      <c r="E52" s="293"/>
      <c r="F52" s="293"/>
      <c r="G52" s="293"/>
      <c r="H52" s="293"/>
      <c r="I52" s="293"/>
      <c r="J52" s="293"/>
      <c r="K52" s="278"/>
      <c r="L52" s="278"/>
    </row>
    <row r="53" spans="1:12" ht="40.5" customHeight="1">
      <c r="A53" s="276" t="s">
        <v>176</v>
      </c>
      <c r="B53" s="283" t="s">
        <v>356</v>
      </c>
      <c r="C53" s="284">
        <f>D52</f>
        <v>44873</v>
      </c>
      <c r="D53" s="297">
        <f>C53+30</f>
        <v>44903</v>
      </c>
      <c r="E53" s="293"/>
      <c r="F53" s="293"/>
      <c r="G53" s="293"/>
      <c r="H53" s="293"/>
      <c r="I53" s="293"/>
      <c r="J53" s="293"/>
      <c r="K53" s="278"/>
      <c r="L53" s="278"/>
    </row>
    <row r="54" spans="1:12" ht="37.5" customHeight="1">
      <c r="A54" s="276" t="s">
        <v>357</v>
      </c>
      <c r="B54" s="277" t="s">
        <v>177</v>
      </c>
      <c r="C54" s="284">
        <f>D47</f>
        <v>44868</v>
      </c>
      <c r="D54" s="297">
        <f>C54+15</f>
        <v>44883</v>
      </c>
      <c r="E54" s="293"/>
      <c r="F54" s="293"/>
      <c r="G54" s="293"/>
      <c r="H54" s="293"/>
      <c r="I54" s="293"/>
      <c r="J54" s="293"/>
      <c r="K54" s="278"/>
      <c r="L54" s="278"/>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2020-02-19T10:23:34Z</cp:lastPrinted>
  <dcterms:created xsi:type="dcterms:W3CDTF">2015-08-16T15:31:05Z</dcterms:created>
  <dcterms:modified xsi:type="dcterms:W3CDTF">2020-05-19T07:19:52Z</dcterms:modified>
</cp:coreProperties>
</file>